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trlProps/ctrlProp52.xml" ContentType="application/vnd.ms-excel.controlproperties+xml"/>
  <Override PartName="/xl/drawings/drawing5.xml" ContentType="application/vnd.openxmlformats-officedocument.drawing+xml"/>
  <Override PartName="/xl/ctrlProps/ctrlProp53.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54.xml" ContentType="application/vnd.ms-excel.controlproperties+xml"/>
  <Override PartName="/xl/ctrlProps/ctrlProp55.xml" ContentType="application/vnd.ms-excel.controlproperti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petet\Downloads\"/>
    </mc:Choice>
  </mc:AlternateContent>
  <xr:revisionPtr revIDLastSave="0" documentId="13_ncr:1_{8F5C5FC2-8728-4450-8D27-FA02A1F2FB74}" xr6:coauthVersionLast="47" xr6:coauthVersionMax="47" xr10:uidLastSave="{00000000-0000-0000-0000-000000000000}"/>
  <workbookProtection workbookAlgorithmName="SHA-512" workbookHashValue="5ZPaGjxttp4PJFHVDMoa/Xt6QB7YEuXuA4F9iwdwBwx0CQYKwdEzc7Ymj/3zj7BFEl13c3MU09AWzqSXPHilaw==" workbookSaltValue="Ya/MoYUWwr97WdPlWaFJng==" workbookSpinCount="100000" lockStructure="1"/>
  <bookViews>
    <workbookView xWindow="1215" yWindow="1245" windowWidth="26490" windowHeight="22455" xr2:uid="{3E53C4A5-2614-4141-9EED-5D499BC093CD}"/>
  </bookViews>
  <sheets>
    <sheet name="HSC-VS" sheetId="1" r:id="rId1"/>
    <sheet name="Equations" sheetId="3" state="hidden" r:id="rId2"/>
    <sheet name="Data" sheetId="2" state="hidden" r:id="rId3"/>
    <sheet name="Notes" sheetId="4" r:id="rId4"/>
    <sheet name="Connection Box Details" sheetId="10" r:id="rId5"/>
    <sheet name="Optional Pressure Dampers" sheetId="18" r:id="rId6"/>
    <sheet name="Selection Summary &amp; Print" sheetId="7" r:id="rId7"/>
    <sheet name="NEWCMAX" sheetId="16" state="hidden" r:id="rId8"/>
    <sheet name="dimensions old" sheetId="17" state="hidden" r:id="rId9"/>
    <sheet name="Diagrams" sheetId="11" state="hidden" r:id="rId10"/>
    <sheet name="layout diagrams" sheetId="12" state="hidden" r:id="rId11"/>
  </sheets>
  <definedNames>
    <definedName name="_acc.code">Data!$B$223</definedName>
    <definedName name="_diffusercode">Data!$B$222</definedName>
    <definedName name="_productcode">Data!$B$224</definedName>
    <definedName name="_SelectedBoxDiagram">IF(Data!$B$166,Diagrams!$B$6,IF(Equations!$C$17,Diagrams!$B$7,IF(Data!$K$367,Diagrams!$B$4,Diagrams!$B$5)))</definedName>
    <definedName name="adpi.">Data!$A$33:$A$36</definedName>
    <definedName name="dischargediagram">INDEX('layout diagrams'!$A$4:$A$7,MATCH('layout diagrams'!$B$2,'layout diagrams'!$B$4:$B$7,0),0)</definedName>
    <definedName name="dischargedirection.">Data!$A$26:$A$29</definedName>
    <definedName name="layout.">INDEX('layout diagrams'!$D$9:$D$12,MATCH('layout diagrams'!$B$2,'layout diagrams'!$B$4:$B$7,0),0)</definedName>
    <definedName name="necksize.">Data!$A$2:$A$4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2" l="1"/>
  <c r="AQ419" i="3"/>
  <c r="AO419" i="3" s="1"/>
  <c r="AQ420" i="3"/>
  <c r="AO420" i="3" s="1"/>
  <c r="AQ421" i="3"/>
  <c r="AO421" i="3" s="1"/>
  <c r="AQ418" i="3"/>
  <c r="AO418" i="3" s="1"/>
  <c r="AD418" i="3"/>
  <c r="AS421" i="3"/>
  <c r="AR421" i="3"/>
  <c r="AS420" i="3"/>
  <c r="AR420" i="3"/>
  <c r="AS419" i="3"/>
  <c r="AR419" i="3"/>
  <c r="AS418" i="3"/>
  <c r="AR418" i="3"/>
  <c r="F329" i="2"/>
  <c r="C184" i="2"/>
  <c r="B185" i="2"/>
  <c r="B115" i="2" s="1"/>
  <c r="B188" i="2"/>
  <c r="C188" i="2" s="1"/>
  <c r="L180" i="2" s="1"/>
  <c r="B171" i="2"/>
  <c r="B170" i="2"/>
  <c r="C183" i="2"/>
  <c r="R640" i="3"/>
  <c r="Q640" i="3"/>
  <c r="Z467" i="3"/>
  <c r="Y467" i="3" s="1"/>
  <c r="P49" i="7"/>
  <c r="E188" i="2" l="1"/>
  <c r="J183" i="2" s="1"/>
  <c r="D188" i="2"/>
  <c r="L181" i="2"/>
  <c r="Z468" i="3"/>
  <c r="AA468" i="3" s="1"/>
  <c r="B153" i="2"/>
  <c r="B152" i="2"/>
  <c r="F85" i="2"/>
  <c r="M181" i="2" l="1"/>
  <c r="M180" i="2"/>
  <c r="B154" i="2"/>
  <c r="C154" i="2" s="1"/>
  <c r="I13" i="18" l="1"/>
  <c r="J13" i="18" s="1"/>
  <c r="I14" i="18"/>
  <c r="J14" i="18" s="1"/>
  <c r="I15" i="18"/>
  <c r="J15" i="18" s="1"/>
  <c r="I12" i="18"/>
  <c r="J12" i="18" s="1"/>
  <c r="K360" i="2"/>
  <c r="I360" i="2"/>
  <c r="J360" i="2" s="1"/>
  <c r="A363" i="2"/>
  <c r="E13" i="1"/>
  <c r="F136" i="2"/>
  <c r="F137" i="2"/>
  <c r="F138" i="2"/>
  <c r="F139" i="2"/>
  <c r="F140" i="2"/>
  <c r="F135" i="2"/>
  <c r="H136" i="2"/>
  <c r="I136" i="2" s="1"/>
  <c r="H137" i="2"/>
  <c r="I137" i="2" s="1"/>
  <c r="H138" i="2"/>
  <c r="I138" i="2" s="1"/>
  <c r="H139" i="2"/>
  <c r="I139" i="2" s="1"/>
  <c r="H140" i="2"/>
  <c r="I140" i="2" s="1"/>
  <c r="H135" i="2"/>
  <c r="I135" i="2" s="1"/>
  <c r="G136" i="2"/>
  <c r="G137" i="2"/>
  <c r="G138" i="2"/>
  <c r="G139" i="2"/>
  <c r="G140" i="2"/>
  <c r="G135" i="2"/>
  <c r="N107" i="2"/>
  <c r="N108" i="2"/>
  <c r="N109" i="2"/>
  <c r="N110" i="2"/>
  <c r="N106" i="2"/>
  <c r="P107" i="2"/>
  <c r="P108" i="2"/>
  <c r="P109" i="2"/>
  <c r="P110" i="2"/>
  <c r="P106" i="2"/>
  <c r="M107" i="2"/>
  <c r="M108" i="2"/>
  <c r="M109" i="2"/>
  <c r="M110" i="2"/>
  <c r="M106" i="2"/>
  <c r="AD419" i="3" l="1"/>
  <c r="AB419" i="3" s="1"/>
  <c r="AD420" i="3"/>
  <c r="AD421" i="3"/>
  <c r="AB421" i="3" s="1"/>
  <c r="B590" i="3"/>
  <c r="B591" i="3"/>
  <c r="B592" i="3"/>
  <c r="B593" i="3"/>
  <c r="B594" i="3"/>
  <c r="C590" i="3"/>
  <c r="D590" i="3"/>
  <c r="E590" i="3"/>
  <c r="F590" i="3"/>
  <c r="G590" i="3"/>
  <c r="H590" i="3"/>
  <c r="I590" i="3"/>
  <c r="J590" i="3"/>
  <c r="K590" i="3"/>
  <c r="L590" i="3"/>
  <c r="M590" i="3"/>
  <c r="C591" i="3"/>
  <c r="D591" i="3"/>
  <c r="E591" i="3"/>
  <c r="F591" i="3"/>
  <c r="G591" i="3"/>
  <c r="H591" i="3"/>
  <c r="I591" i="3"/>
  <c r="J591" i="3"/>
  <c r="K591" i="3"/>
  <c r="L591" i="3"/>
  <c r="M591" i="3"/>
  <c r="C592" i="3"/>
  <c r="D592" i="3"/>
  <c r="E592" i="3"/>
  <c r="F592" i="3"/>
  <c r="G592" i="3"/>
  <c r="H592" i="3"/>
  <c r="I592" i="3"/>
  <c r="J592" i="3"/>
  <c r="K592" i="3"/>
  <c r="L592" i="3"/>
  <c r="M592" i="3"/>
  <c r="C593" i="3"/>
  <c r="D593" i="3"/>
  <c r="E593" i="3"/>
  <c r="F593" i="3"/>
  <c r="G593" i="3"/>
  <c r="H593" i="3"/>
  <c r="I593" i="3"/>
  <c r="J593" i="3"/>
  <c r="K593" i="3"/>
  <c r="L593" i="3"/>
  <c r="M593" i="3"/>
  <c r="C594" i="3"/>
  <c r="D594" i="3"/>
  <c r="E594" i="3"/>
  <c r="F594" i="3"/>
  <c r="G594" i="3"/>
  <c r="H594" i="3"/>
  <c r="I594" i="3"/>
  <c r="J594" i="3"/>
  <c r="K594" i="3"/>
  <c r="L594" i="3"/>
  <c r="M594" i="3"/>
  <c r="AE419" i="3"/>
  <c r="AE420" i="3"/>
  <c r="AE421" i="3"/>
  <c r="AE418" i="3"/>
  <c r="AB420" i="3"/>
  <c r="AB418" i="3"/>
  <c r="AF421" i="3"/>
  <c r="AF420" i="3"/>
  <c r="AF419" i="3"/>
  <c r="AF418" i="3"/>
  <c r="C205" i="2"/>
  <c r="D205" i="2" s="1" a="1"/>
  <c r="D205" i="2" s="1"/>
  <c r="B199" i="2"/>
  <c r="E204" i="2"/>
  <c r="D204" i="2"/>
  <c r="C204" i="2"/>
  <c r="L78" i="1"/>
  <c r="B64" i="2"/>
  <c r="C16" i="3"/>
  <c r="C97" i="2"/>
  <c r="F68" i="2"/>
  <c r="D80" i="2"/>
  <c r="D329" i="2"/>
  <c r="B329" i="2" s="1"/>
  <c r="B14" i="2"/>
  <c r="F74" i="1" s="1"/>
  <c r="C98" i="2"/>
  <c r="E98" i="2" s="1"/>
  <c r="C166" i="2"/>
  <c r="C35" i="3" l="1"/>
  <c r="AO459" i="3" s="1"/>
  <c r="C36" i="3"/>
  <c r="B200" i="2"/>
  <c r="B189" i="2"/>
  <c r="I180" i="2" s="1"/>
  <c r="B190" i="2"/>
  <c r="I181" i="2" s="1"/>
  <c r="C182" i="2" s="1"/>
  <c r="F76" i="1"/>
  <c r="B632" i="3"/>
  <c r="C65" i="1" s="1"/>
  <c r="B18" i="2"/>
  <c r="B206" i="2"/>
  <c r="C206" i="2" s="1" a="1"/>
  <c r="C206" i="2" s="1"/>
  <c r="B19" i="2"/>
  <c r="D166" i="2"/>
  <c r="C160" i="2" a="1"/>
  <c r="C160" i="2" s="1"/>
  <c r="C325" i="2"/>
  <c r="B16" i="2" l="1"/>
  <c r="AH460" i="3"/>
  <c r="AB460" i="3"/>
  <c r="AO460" i="3"/>
  <c r="AO461" i="3" s="1"/>
  <c r="AU460" i="3"/>
  <c r="AU461" i="3" s="1"/>
  <c r="AU459" i="3"/>
  <c r="D36" i="3"/>
  <c r="D20" i="2"/>
  <c r="B20" i="2" s="1"/>
  <c r="E16" i="1" s="1"/>
  <c r="C496" i="3"/>
  <c r="D182" i="2" a="1"/>
  <c r="D182" i="2" s="1"/>
  <c r="H81" i="1" s="1"/>
  <c r="D184" i="2" a="1"/>
  <c r="D184" i="2" s="1"/>
  <c r="N81" i="1" s="1"/>
  <c r="D183" i="2" a="1"/>
  <c r="D183" i="2" s="1"/>
  <c r="C181" i="2"/>
  <c r="D181" i="2" s="1" a="1"/>
  <c r="D181" i="2" s="1"/>
  <c r="D496" i="3"/>
  <c r="E496" i="3"/>
  <c r="F496" i="3"/>
  <c r="G496" i="3"/>
  <c r="M496" i="3"/>
  <c r="H496" i="3"/>
  <c r="L496" i="3"/>
  <c r="I496" i="3"/>
  <c r="J496" i="3"/>
  <c r="K496" i="3"/>
  <c r="AB459" i="3"/>
  <c r="AB461" i="3"/>
  <c r="AH459" i="3"/>
  <c r="AH461" i="3"/>
  <c r="D98" i="2"/>
  <c r="H84" i="1" s="1"/>
  <c r="D88" i="2"/>
  <c r="F17" i="10"/>
  <c r="E346" i="2" s="1"/>
  <c r="K17" i="10"/>
  <c r="J346" i="2" s="1"/>
  <c r="F18" i="10"/>
  <c r="E347" i="2" s="1"/>
  <c r="K18" i="10"/>
  <c r="J347" i="2" s="1"/>
  <c r="F19" i="10"/>
  <c r="E348" i="2" s="1"/>
  <c r="K19" i="10"/>
  <c r="J348" i="2" s="1"/>
  <c r="F20" i="10"/>
  <c r="E349" i="2" s="1"/>
  <c r="K20" i="10"/>
  <c r="J349" i="2" s="1"/>
  <c r="C4" i="3"/>
  <c r="V419" i="3"/>
  <c r="T419" i="3" s="1"/>
  <c r="D462" i="3" s="1"/>
  <c r="C463" i="3" s="1"/>
  <c r="N419" i="3"/>
  <c r="L419" i="3" s="1"/>
  <c r="N420" i="3"/>
  <c r="L420" i="3" s="1"/>
  <c r="N421" i="3"/>
  <c r="L421" i="3" s="1"/>
  <c r="N422" i="3"/>
  <c r="L422" i="3" s="1"/>
  <c r="F418" i="3"/>
  <c r="D418" i="3" s="1"/>
  <c r="F419" i="3"/>
  <c r="D419" i="3" s="1"/>
  <c r="F420" i="3"/>
  <c r="D420" i="3" s="1"/>
  <c r="F421" i="3"/>
  <c r="D421" i="3" s="1"/>
  <c r="F422" i="3"/>
  <c r="D422" i="3" s="1"/>
  <c r="V418" i="3"/>
  <c r="T418" i="3" s="1"/>
  <c r="V420" i="3"/>
  <c r="T420" i="3" s="1"/>
  <c r="V421" i="3"/>
  <c r="T421" i="3" s="1"/>
  <c r="F25" i="2"/>
  <c r="B58" i="2" s="1"/>
  <c r="J165" i="3"/>
  <c r="K165" i="3" s="1"/>
  <c r="J212" i="3" s="1"/>
  <c r="C165" i="3"/>
  <c r="D165" i="3" s="1"/>
  <c r="C212" i="3" s="1"/>
  <c r="C19" i="3"/>
  <c r="C15" i="3"/>
  <c r="C34" i="3" s="1"/>
  <c r="C21" i="3"/>
  <c r="C23" i="3"/>
  <c r="F121" i="3" s="1"/>
  <c r="C87" i="3"/>
  <c r="C18" i="3"/>
  <c r="C38" i="3" s="1"/>
  <c r="C20" i="3"/>
  <c r="C39" i="3" s="1"/>
  <c r="Q165" i="3"/>
  <c r="R165" i="3" s="1"/>
  <c r="Q212" i="3" s="1"/>
  <c r="Q213" i="3" s="1"/>
  <c r="X165" i="3"/>
  <c r="Y165" i="3" s="1"/>
  <c r="X212" i="3" s="1"/>
  <c r="AE165" i="3"/>
  <c r="AF165" i="3" s="1"/>
  <c r="AE212" i="3" s="1"/>
  <c r="AL165" i="3"/>
  <c r="AM165" i="3" s="1"/>
  <c r="AL212" i="3" s="1"/>
  <c r="AS165" i="3"/>
  <c r="AT165" i="3" s="1"/>
  <c r="AS212" i="3" s="1"/>
  <c r="AZ165" i="3"/>
  <c r="BA165" i="3" s="1"/>
  <c r="AZ212" i="3" s="1"/>
  <c r="BG165" i="3"/>
  <c r="BH165" i="3" s="1"/>
  <c r="BG212" i="3" s="1"/>
  <c r="BN165" i="3"/>
  <c r="BO165" i="3" s="1"/>
  <c r="BN212" i="3" s="1"/>
  <c r="BU165" i="3"/>
  <c r="BV165" i="3" s="1"/>
  <c r="BU212" i="3" s="1"/>
  <c r="C47" i="3"/>
  <c r="B60" i="2" s="1"/>
  <c r="B301" i="2"/>
  <c r="D33" i="7" s="1"/>
  <c r="M430" i="3"/>
  <c r="M450" i="3" s="1"/>
  <c r="M451" i="3" s="1"/>
  <c r="BT225" i="3"/>
  <c r="BT226" i="3"/>
  <c r="BM225" i="3"/>
  <c r="BM226" i="3"/>
  <c r="BF225" i="3"/>
  <c r="BF226" i="3"/>
  <c r="AY225" i="3"/>
  <c r="AY226" i="3"/>
  <c r="AR225" i="3"/>
  <c r="AR226" i="3"/>
  <c r="AK225" i="3"/>
  <c r="AK226" i="3"/>
  <c r="AD225" i="3"/>
  <c r="AD226" i="3"/>
  <c r="W225" i="3"/>
  <c r="W226" i="3"/>
  <c r="P225" i="3"/>
  <c r="P226" i="3"/>
  <c r="I225" i="3"/>
  <c r="I226" i="3"/>
  <c r="B225" i="3"/>
  <c r="B226" i="3"/>
  <c r="E430" i="3"/>
  <c r="E450" i="3" s="1"/>
  <c r="E451" i="3" s="1"/>
  <c r="U430" i="3"/>
  <c r="U450" i="3" s="1"/>
  <c r="U451" i="3" s="1"/>
  <c r="C74" i="2"/>
  <c r="C67" i="2" s="1"/>
  <c r="B66" i="2"/>
  <c r="C68" i="2"/>
  <c r="D86" i="2"/>
  <c r="D87" i="2"/>
  <c r="B215" i="2" a="1"/>
  <c r="B215" i="2" s="1"/>
  <c r="J25" i="10"/>
  <c r="K25" i="10" s="1"/>
  <c r="J350" i="2" s="1"/>
  <c r="C346" i="2"/>
  <c r="B346" i="2"/>
  <c r="C347" i="2"/>
  <c r="B347" i="2"/>
  <c r="F347" i="2"/>
  <c r="K347" i="2" s="1"/>
  <c r="H347" i="2"/>
  <c r="D347" i="2"/>
  <c r="C348" i="2"/>
  <c r="B348" i="2"/>
  <c r="C349" i="2"/>
  <c r="B349" i="2"/>
  <c r="D346" i="2"/>
  <c r="F346" i="2"/>
  <c r="K346" i="2" s="1"/>
  <c r="G346" i="2"/>
  <c r="H346" i="2"/>
  <c r="I346" i="2"/>
  <c r="G347" i="2"/>
  <c r="I347" i="2"/>
  <c r="D348" i="2"/>
  <c r="F348" i="2"/>
  <c r="K348" i="2" s="1"/>
  <c r="G348" i="2"/>
  <c r="H348" i="2"/>
  <c r="I348" i="2"/>
  <c r="D349" i="2"/>
  <c r="F349" i="2"/>
  <c r="K349" i="2" s="1"/>
  <c r="G349" i="2"/>
  <c r="H349" i="2"/>
  <c r="I349" i="2"/>
  <c r="C350" i="2"/>
  <c r="B350" i="2"/>
  <c r="D350" i="2"/>
  <c r="F25" i="10"/>
  <c r="E350" i="2" s="1"/>
  <c r="F350" i="2"/>
  <c r="K350" i="2" s="1"/>
  <c r="G350" i="2"/>
  <c r="H350" i="2"/>
  <c r="C351" i="2"/>
  <c r="B351" i="2"/>
  <c r="D351" i="2"/>
  <c r="F26" i="10"/>
  <c r="E351" i="2" s="1"/>
  <c r="F351" i="2"/>
  <c r="K351" i="2" s="1"/>
  <c r="G351" i="2"/>
  <c r="H351" i="2"/>
  <c r="I351" i="2"/>
  <c r="K26" i="10"/>
  <c r="J351" i="2" s="1"/>
  <c r="C352" i="2"/>
  <c r="B352" i="2"/>
  <c r="D352" i="2"/>
  <c r="F27" i="10"/>
  <c r="E352" i="2" s="1"/>
  <c r="F352" i="2"/>
  <c r="K352" i="2" s="1"/>
  <c r="G352" i="2"/>
  <c r="H352" i="2"/>
  <c r="I352" i="2"/>
  <c r="K27" i="10"/>
  <c r="J352" i="2" s="1"/>
  <c r="C353" i="2"/>
  <c r="B353" i="2"/>
  <c r="D353" i="2"/>
  <c r="F28" i="10"/>
  <c r="E353" i="2" s="1"/>
  <c r="F353" i="2"/>
  <c r="K353" i="2" s="1"/>
  <c r="G353" i="2"/>
  <c r="H353" i="2"/>
  <c r="I353" i="2"/>
  <c r="K28" i="10"/>
  <c r="J353" i="2" s="1"/>
  <c r="C354" i="2"/>
  <c r="B354" i="2"/>
  <c r="D354" i="2"/>
  <c r="F29" i="10"/>
  <c r="E354" i="2" s="1"/>
  <c r="F354" i="2"/>
  <c r="K354" i="2" s="1"/>
  <c r="G354" i="2"/>
  <c r="H354" i="2"/>
  <c r="I354" i="2"/>
  <c r="K29" i="10"/>
  <c r="J354" i="2" s="1"/>
  <c r="C355" i="2"/>
  <c r="B355" i="2"/>
  <c r="D355" i="2"/>
  <c r="F34" i="10"/>
  <c r="E355" i="2" s="1"/>
  <c r="F355" i="2"/>
  <c r="K355" i="2" s="1"/>
  <c r="G355" i="2"/>
  <c r="H355" i="2"/>
  <c r="I355" i="2"/>
  <c r="K34" i="10"/>
  <c r="J355" i="2" s="1"/>
  <c r="C356" i="2"/>
  <c r="B356" i="2"/>
  <c r="D356" i="2"/>
  <c r="F35" i="10"/>
  <c r="E356" i="2" s="1"/>
  <c r="F356" i="2"/>
  <c r="K356" i="2" s="1"/>
  <c r="G356" i="2"/>
  <c r="H356" i="2"/>
  <c r="I356" i="2"/>
  <c r="K35" i="10"/>
  <c r="J356" i="2" s="1"/>
  <c r="C357" i="2"/>
  <c r="B357" i="2"/>
  <c r="D357" i="2"/>
  <c r="F36" i="10"/>
  <c r="E357" i="2" s="1"/>
  <c r="F357" i="2"/>
  <c r="K357" i="2" s="1"/>
  <c r="G357" i="2"/>
  <c r="H357" i="2"/>
  <c r="I357" i="2"/>
  <c r="K36" i="10"/>
  <c r="J357" i="2" s="1"/>
  <c r="C358" i="2"/>
  <c r="B358" i="2"/>
  <c r="D358" i="2"/>
  <c r="F37" i="10"/>
  <c r="E358" i="2" s="1"/>
  <c r="F358" i="2"/>
  <c r="K358" i="2" s="1"/>
  <c r="G358" i="2"/>
  <c r="H358" i="2"/>
  <c r="I358" i="2"/>
  <c r="K37" i="10"/>
  <c r="J358" i="2" s="1"/>
  <c r="C359" i="2"/>
  <c r="B359" i="2"/>
  <c r="D359" i="2"/>
  <c r="F38" i="10"/>
  <c r="E359" i="2" s="1"/>
  <c r="F359" i="2"/>
  <c r="K359" i="2" s="1"/>
  <c r="G359" i="2"/>
  <c r="H359" i="2"/>
  <c r="I359" i="2"/>
  <c r="K38" i="10"/>
  <c r="J359" i="2" s="1"/>
  <c r="D74" i="2"/>
  <c r="F67" i="2" s="1"/>
  <c r="F86" i="2"/>
  <c r="F87" i="2"/>
  <c r="F88" i="2"/>
  <c r="B91" i="2"/>
  <c r="E68" i="2"/>
  <c r="E3" i="3"/>
  <c r="B312" i="2"/>
  <c r="D312" i="2" s="1"/>
  <c r="C9" i="3"/>
  <c r="E11" i="1" s="1"/>
  <c r="D82" i="2"/>
  <c r="D81" i="2"/>
  <c r="B219" i="2"/>
  <c r="X421" i="3"/>
  <c r="X420" i="3"/>
  <c r="X419" i="3"/>
  <c r="X418" i="3"/>
  <c r="P419" i="3"/>
  <c r="P420" i="3"/>
  <c r="P421" i="3"/>
  <c r="P422" i="3"/>
  <c r="P418" i="3"/>
  <c r="W498" i="3"/>
  <c r="I192" i="3"/>
  <c r="P192" i="3"/>
  <c r="W192" i="3"/>
  <c r="AD192" i="3"/>
  <c r="AK192" i="3"/>
  <c r="AR192" i="3"/>
  <c r="AY192" i="3"/>
  <c r="BF192" i="3"/>
  <c r="BM192" i="3"/>
  <c r="BT192" i="3"/>
  <c r="I193" i="3"/>
  <c r="P193" i="3"/>
  <c r="W193" i="3"/>
  <c r="AD193" i="3"/>
  <c r="AK193" i="3"/>
  <c r="AR193" i="3"/>
  <c r="AY193" i="3"/>
  <c r="BF193" i="3"/>
  <c r="BM193" i="3"/>
  <c r="BT193" i="3"/>
  <c r="I194" i="3"/>
  <c r="P194" i="3"/>
  <c r="W194" i="3"/>
  <c r="AD194" i="3"/>
  <c r="AK194" i="3"/>
  <c r="AR194" i="3"/>
  <c r="AY194" i="3"/>
  <c r="BF194" i="3"/>
  <c r="BM194" i="3"/>
  <c r="BT194" i="3"/>
  <c r="I195" i="3"/>
  <c r="P195" i="3"/>
  <c r="W195" i="3"/>
  <c r="AD195" i="3"/>
  <c r="AK195" i="3"/>
  <c r="AR195" i="3"/>
  <c r="AY195" i="3"/>
  <c r="BF195" i="3"/>
  <c r="BM195" i="3"/>
  <c r="BT195" i="3"/>
  <c r="B193" i="3"/>
  <c r="B194" i="3"/>
  <c r="B195" i="3"/>
  <c r="B192" i="3"/>
  <c r="C299" i="2"/>
  <c r="B294" i="2"/>
  <c r="C25" i="3"/>
  <c r="C46" i="3" s="1"/>
  <c r="D4" i="3"/>
  <c r="N19" i="1" s="1"/>
  <c r="J2" i="7"/>
  <c r="K2" i="7"/>
  <c r="I2" i="7"/>
  <c r="J34" i="17"/>
  <c r="D34" i="17"/>
  <c r="J33" i="17"/>
  <c r="D33" i="17"/>
  <c r="J32" i="17"/>
  <c r="D32" i="17"/>
  <c r="J27" i="17"/>
  <c r="D27" i="17"/>
  <c r="J26" i="17"/>
  <c r="D26" i="17"/>
  <c r="J25" i="17"/>
  <c r="D25" i="17"/>
  <c r="J24" i="17"/>
  <c r="D24" i="17"/>
  <c r="J23" i="17"/>
  <c r="D23" i="17"/>
  <c r="J18" i="17"/>
  <c r="D18" i="17"/>
  <c r="J17" i="17"/>
  <c r="D17" i="17"/>
  <c r="J16" i="17"/>
  <c r="D16" i="17"/>
  <c r="J15" i="17"/>
  <c r="D15" i="17"/>
  <c r="I14" i="17"/>
  <c r="J14" i="17"/>
  <c r="D14" i="17"/>
  <c r="J8" i="17"/>
  <c r="D8" i="17"/>
  <c r="J7" i="17"/>
  <c r="D7" i="17"/>
  <c r="J6" i="17"/>
  <c r="D6" i="17"/>
  <c r="J5" i="17"/>
  <c r="D5" i="17"/>
  <c r="B273" i="2"/>
  <c r="K167" i="3"/>
  <c r="R167" i="3"/>
  <c r="Y167" i="3"/>
  <c r="AF167" i="3"/>
  <c r="AM167" i="3"/>
  <c r="AT167" i="3"/>
  <c r="BA167" i="3"/>
  <c r="BH167" i="3"/>
  <c r="BO167" i="3"/>
  <c r="BV167" i="3"/>
  <c r="D167" i="3"/>
  <c r="D166" i="3"/>
  <c r="K166" i="3"/>
  <c r="R166" i="3"/>
  <c r="Y166" i="3"/>
  <c r="AF166" i="3"/>
  <c r="AM166" i="3"/>
  <c r="AT166" i="3"/>
  <c r="BA166" i="3"/>
  <c r="BH166" i="3"/>
  <c r="BO166" i="3"/>
  <c r="BV166" i="3"/>
  <c r="C86" i="3"/>
  <c r="C29" i="3"/>
  <c r="Y168" i="3"/>
  <c r="AF168" i="3"/>
  <c r="AM168" i="3"/>
  <c r="AT168" i="3"/>
  <c r="BA168" i="3"/>
  <c r="BH168" i="3"/>
  <c r="BO168" i="3"/>
  <c r="BV168" i="3"/>
  <c r="R168" i="3"/>
  <c r="K168" i="3"/>
  <c r="D168" i="3"/>
  <c r="D9" i="3"/>
  <c r="F11" i="1" s="1"/>
  <c r="C406" i="3"/>
  <c r="C19" i="16"/>
  <c r="D34" i="1"/>
  <c r="F32" i="16"/>
  <c r="F33" i="16"/>
  <c r="G32" i="16"/>
  <c r="G33" i="16"/>
  <c r="D32" i="16"/>
  <c r="D33" i="16"/>
  <c r="D36" i="16"/>
  <c r="D37" i="16"/>
  <c r="F36" i="16"/>
  <c r="F37" i="16"/>
  <c r="G36" i="16"/>
  <c r="G37" i="16"/>
  <c r="E36" i="16"/>
  <c r="E37" i="16"/>
  <c r="E32" i="16"/>
  <c r="E33" i="16"/>
  <c r="C79" i="16"/>
  <c r="C80" i="16"/>
  <c r="L26" i="16"/>
  <c r="L27" i="16"/>
  <c r="E23" i="16"/>
  <c r="C78" i="16"/>
  <c r="O26" i="16"/>
  <c r="E24" i="16"/>
  <c r="C17" i="16"/>
  <c r="E87" i="16"/>
  <c r="G87" i="16"/>
  <c r="F87" i="16"/>
  <c r="E86" i="16"/>
  <c r="G86" i="16"/>
  <c r="F86" i="16"/>
  <c r="E85" i="16"/>
  <c r="G85" i="16"/>
  <c r="F85" i="16"/>
  <c r="E84" i="16"/>
  <c r="G84" i="16"/>
  <c r="F84" i="16"/>
  <c r="C54" i="16"/>
  <c r="C70" i="16"/>
  <c r="D70" i="16"/>
  <c r="E70" i="16"/>
  <c r="F70" i="16"/>
  <c r="C69" i="16"/>
  <c r="D69" i="16"/>
  <c r="E69" i="16"/>
  <c r="F69" i="16"/>
  <c r="C68" i="16"/>
  <c r="D68" i="16"/>
  <c r="E68" i="16"/>
  <c r="F68" i="16"/>
  <c r="C67" i="16"/>
  <c r="D67" i="16"/>
  <c r="E67" i="16"/>
  <c r="F67" i="16"/>
  <c r="E62" i="16"/>
  <c r="F62" i="16"/>
  <c r="E61" i="16"/>
  <c r="F61" i="16"/>
  <c r="E60" i="16"/>
  <c r="F60" i="16"/>
  <c r="E59" i="16"/>
  <c r="F59" i="16"/>
  <c r="G23" i="16"/>
  <c r="G24" i="16"/>
  <c r="G28" i="16"/>
  <c r="G26" i="16"/>
  <c r="G41" i="16"/>
  <c r="G43" i="16"/>
  <c r="F23" i="16"/>
  <c r="F24" i="16"/>
  <c r="F28" i="16"/>
  <c r="F26" i="16"/>
  <c r="F41" i="16"/>
  <c r="F43" i="16"/>
  <c r="E28" i="16"/>
  <c r="E26" i="16"/>
  <c r="E41" i="16"/>
  <c r="E43" i="16"/>
  <c r="G42" i="16"/>
  <c r="F42" i="16"/>
  <c r="E42" i="16"/>
  <c r="G39" i="16"/>
  <c r="F39" i="16"/>
  <c r="E39" i="16"/>
  <c r="D39" i="16"/>
  <c r="G38" i="16"/>
  <c r="F38" i="16"/>
  <c r="E38" i="16"/>
  <c r="D38" i="16"/>
  <c r="C38" i="16"/>
  <c r="D23" i="16"/>
  <c r="D24" i="16"/>
  <c r="C36" i="16"/>
  <c r="G35" i="16"/>
  <c r="F35" i="16"/>
  <c r="E35" i="16"/>
  <c r="D35" i="16"/>
  <c r="G34" i="16"/>
  <c r="F34" i="16"/>
  <c r="E34" i="16"/>
  <c r="D34" i="16"/>
  <c r="C34" i="16"/>
  <c r="C32" i="16"/>
  <c r="D28" i="16"/>
  <c r="D26" i="16"/>
  <c r="D17" i="16"/>
  <c r="C15" i="16"/>
  <c r="D8" i="16"/>
  <c r="D107" i="3"/>
  <c r="J88" i="3"/>
  <c r="K88" i="3"/>
  <c r="L88" i="3"/>
  <c r="M88" i="3"/>
  <c r="C88" i="3"/>
  <c r="C89" i="3"/>
  <c r="C90" i="3"/>
  <c r="C26" i="2"/>
  <c r="B30" i="2"/>
  <c r="W504" i="3"/>
  <c r="W505" i="3"/>
  <c r="D116" i="3"/>
  <c r="D117" i="3"/>
  <c r="D118" i="3"/>
  <c r="D119" i="3"/>
  <c r="D115" i="3"/>
  <c r="C116" i="3"/>
  <c r="C117" i="3"/>
  <c r="C118" i="3"/>
  <c r="C119" i="3"/>
  <c r="C115" i="3"/>
  <c r="G117" i="3"/>
  <c r="F117" i="3"/>
  <c r="D3" i="3"/>
  <c r="G36" i="1" s="1"/>
  <c r="G107" i="3"/>
  <c r="F107" i="3"/>
  <c r="C107" i="3"/>
  <c r="W495" i="3"/>
  <c r="W494" i="3"/>
  <c r="W500" i="3"/>
  <c r="W502" i="3"/>
  <c r="W499" i="3"/>
  <c r="W501" i="3"/>
  <c r="W496" i="3"/>
  <c r="W503" i="3"/>
  <c r="W541" i="3"/>
  <c r="W542" i="3"/>
  <c r="W493" i="3"/>
  <c r="B311" i="2"/>
  <c r="D311" i="2" s="1"/>
  <c r="B24" i="7" s="1"/>
  <c r="C27" i="3"/>
  <c r="B2" i="7"/>
  <c r="S37" i="1" l="1"/>
  <c r="D18" i="7"/>
  <c r="C7" i="3"/>
  <c r="C14" i="3" s="1"/>
  <c r="U421" i="3" s="1"/>
  <c r="C6" i="3"/>
  <c r="B9" i="2" s="1"/>
  <c r="F10" i="1" s="1"/>
  <c r="C185" i="2" a="1"/>
  <c r="C185" i="2" s="1"/>
  <c r="C221" i="2" s="1"/>
  <c r="J81" i="1"/>
  <c r="D236" i="2"/>
  <c r="D235" i="2"/>
  <c r="D230" i="2"/>
  <c r="E15" i="1"/>
  <c r="B92" i="2"/>
  <c r="B331" i="2" s="1"/>
  <c r="C331" i="2" s="1"/>
  <c r="B221" i="2"/>
  <c r="F15" i="1"/>
  <c r="F66" i="2"/>
  <c r="F69" i="2" s="1"/>
  <c r="C69" i="2"/>
  <c r="D221" i="2" s="1"/>
  <c r="C40" i="3"/>
  <c r="C124" i="3" s="1"/>
  <c r="C125" i="3" s="1"/>
  <c r="B11" i="7"/>
  <c r="D97" i="2"/>
  <c r="F84" i="1" s="1"/>
  <c r="E97" i="2"/>
  <c r="E66" i="2"/>
  <c r="C49" i="3"/>
  <c r="B59" i="2"/>
  <c r="C48" i="3"/>
  <c r="G35" i="1"/>
  <c r="E67" i="2"/>
  <c r="B274" i="2"/>
  <c r="B32" i="7" s="1"/>
  <c r="K547" i="3"/>
  <c r="C22" i="3"/>
  <c r="C401" i="3" s="1"/>
  <c r="BG213" i="3"/>
  <c r="BG214" i="3" s="1"/>
  <c r="O19" i="1"/>
  <c r="AS213" i="3"/>
  <c r="AS214" i="3" s="1"/>
  <c r="AL213" i="3"/>
  <c r="AL214" i="3" s="1"/>
  <c r="C51" i="3"/>
  <c r="Q214" i="3"/>
  <c r="C110" i="3"/>
  <c r="F13" i="1"/>
  <c r="C43" i="3"/>
  <c r="E60" i="3" s="1"/>
  <c r="BU213" i="3"/>
  <c r="BU214" i="3" s="1"/>
  <c r="AE213" i="3"/>
  <c r="AE214" i="3" s="1"/>
  <c r="C213" i="3"/>
  <c r="C214" i="3" s="1"/>
  <c r="BN213" i="3"/>
  <c r="BN214" i="3" s="1"/>
  <c r="X213" i="3"/>
  <c r="X214" i="3" s="1"/>
  <c r="J213" i="3"/>
  <c r="J214" i="3" s="1"/>
  <c r="AZ213" i="3"/>
  <c r="AZ214" i="3" s="1"/>
  <c r="G43" i="1"/>
  <c r="G41" i="1"/>
  <c r="M547" i="3"/>
  <c r="A354" i="2"/>
  <c r="I350" i="2"/>
  <c r="N418" i="3"/>
  <c r="L418" i="3" s="1"/>
  <c r="A350" i="2"/>
  <c r="A346" i="2"/>
  <c r="A348" i="2"/>
  <c r="A355" i="2"/>
  <c r="A349" i="2"/>
  <c r="A358" i="2"/>
  <c r="A356" i="2"/>
  <c r="A359" i="2"/>
  <c r="A357" i="2"/>
  <c r="A352" i="2"/>
  <c r="A351" i="2"/>
  <c r="A347" i="2"/>
  <c r="A353" i="2"/>
  <c r="C50" i="3"/>
  <c r="D89" i="2"/>
  <c r="B82" i="2" s="1"/>
  <c r="B83" i="2" s="1" a="1"/>
  <c r="C111" i="3"/>
  <c r="I547" i="3"/>
  <c r="C192" i="3"/>
  <c r="AZ195" i="3"/>
  <c r="X195" i="3"/>
  <c r="BN194" i="3"/>
  <c r="AL194" i="3"/>
  <c r="J194" i="3"/>
  <c r="AZ193" i="3"/>
  <c r="X193" i="3"/>
  <c r="BN192" i="3"/>
  <c r="AL192" i="3"/>
  <c r="J192" i="3"/>
  <c r="H547" i="3"/>
  <c r="C195" i="3"/>
  <c r="C42" i="3"/>
  <c r="G547" i="3"/>
  <c r="J547" i="3"/>
  <c r="BU195" i="3"/>
  <c r="AS195" i="3"/>
  <c r="Q195" i="3"/>
  <c r="BG194" i="3"/>
  <c r="AE194" i="3"/>
  <c r="BU193" i="3"/>
  <c r="AS193" i="3"/>
  <c r="Q193" i="3"/>
  <c r="BG192" i="3"/>
  <c r="AE192" i="3"/>
  <c r="C194" i="3"/>
  <c r="B602" i="3"/>
  <c r="D35" i="1" s="1"/>
  <c r="F547" i="3"/>
  <c r="C193" i="3"/>
  <c r="F120" i="3"/>
  <c r="F111" i="3"/>
  <c r="D547" i="3"/>
  <c r="C120" i="3"/>
  <c r="C121" i="3"/>
  <c r="E547" i="3"/>
  <c r="BN195" i="3"/>
  <c r="AL195" i="3"/>
  <c r="J195" i="3"/>
  <c r="AZ194" i="3"/>
  <c r="X194" i="3"/>
  <c r="BN193" i="3"/>
  <c r="AL193" i="3"/>
  <c r="J193" i="3"/>
  <c r="AZ192" i="3"/>
  <c r="X192" i="3"/>
  <c r="C547" i="3"/>
  <c r="F110" i="3"/>
  <c r="L547" i="3"/>
  <c r="BG195" i="3"/>
  <c r="AE195" i="3"/>
  <c r="BU194" i="3"/>
  <c r="AS194" i="3"/>
  <c r="Q194" i="3"/>
  <c r="BG193" i="3"/>
  <c r="AE193" i="3"/>
  <c r="BU192" i="3"/>
  <c r="AS192" i="3"/>
  <c r="Q192" i="3"/>
  <c r="C289" i="3"/>
  <c r="AE289" i="3"/>
  <c r="BM307" i="3"/>
  <c r="B63" i="3"/>
  <c r="AK307" i="3"/>
  <c r="AL289" i="3"/>
  <c r="AS289" i="3"/>
  <c r="P307" i="3"/>
  <c r="B307" i="3"/>
  <c r="I307" i="3"/>
  <c r="BN289" i="3"/>
  <c r="AD307" i="3"/>
  <c r="AR307" i="3"/>
  <c r="BG289" i="3"/>
  <c r="Q289" i="3"/>
  <c r="BU289" i="3"/>
  <c r="BT307" i="3"/>
  <c r="W307" i="3"/>
  <c r="AZ289" i="3"/>
  <c r="X289" i="3"/>
  <c r="AY307" i="3"/>
  <c r="BF307" i="3"/>
  <c r="BT227" i="3"/>
  <c r="C91" i="3"/>
  <c r="C101" i="3"/>
  <c r="G499" i="3"/>
  <c r="G550" i="3" s="1"/>
  <c r="L499" i="3"/>
  <c r="L550" i="3" s="1"/>
  <c r="H499" i="3"/>
  <c r="H550" i="3" s="1"/>
  <c r="M499" i="3"/>
  <c r="M550" i="3" s="1"/>
  <c r="C499" i="3"/>
  <c r="C550" i="3" s="1"/>
  <c r="J499" i="3"/>
  <c r="J550" i="3" s="1"/>
  <c r="E499" i="3"/>
  <c r="E550" i="3" s="1"/>
  <c r="I499" i="3"/>
  <c r="I550" i="3" s="1"/>
  <c r="F499" i="3"/>
  <c r="F550" i="3" s="1"/>
  <c r="K499" i="3"/>
  <c r="K550" i="3" s="1"/>
  <c r="C76" i="3"/>
  <c r="D499" i="3"/>
  <c r="D550" i="3" s="1"/>
  <c r="J289" i="3"/>
  <c r="P227" i="3"/>
  <c r="AR227" i="3"/>
  <c r="B227" i="3"/>
  <c r="C58" i="2"/>
  <c r="B2" i="12"/>
  <c r="D21" i="3"/>
  <c r="C52" i="3"/>
  <c r="AY227" i="3"/>
  <c r="AK227" i="3"/>
  <c r="AD227" i="3"/>
  <c r="W227" i="3"/>
  <c r="BM227" i="3"/>
  <c r="I227" i="3"/>
  <c r="BF227" i="3"/>
  <c r="BU221" i="3"/>
  <c r="BG288" i="3"/>
  <c r="C37" i="3"/>
  <c r="G495" i="3"/>
  <c r="G546" i="3" s="1"/>
  <c r="U419" i="3"/>
  <c r="X240" i="3" l="1"/>
  <c r="X241" i="3" s="1"/>
  <c r="Y244" i="3" s="1"/>
  <c r="BN240" i="3"/>
  <c r="BN241" i="3" s="1"/>
  <c r="BO244" i="3" s="1"/>
  <c r="AE288" i="3"/>
  <c r="C221" i="3"/>
  <c r="E418" i="3"/>
  <c r="AP418" i="3"/>
  <c r="AP421" i="3"/>
  <c r="AP420" i="3"/>
  <c r="AP419" i="3"/>
  <c r="M437" i="3"/>
  <c r="F495" i="3"/>
  <c r="F546" i="3" s="1"/>
  <c r="E422" i="3"/>
  <c r="BU288" i="3"/>
  <c r="BU290" i="3" s="1"/>
  <c r="BU291" i="3" s="1"/>
  <c r="J288" i="3"/>
  <c r="J290" i="3" s="1"/>
  <c r="J291" i="3" s="1"/>
  <c r="J495" i="3"/>
  <c r="J546" i="3" s="1"/>
  <c r="U437" i="3"/>
  <c r="B605" i="3"/>
  <c r="D38" i="1" s="1"/>
  <c r="C45" i="3"/>
  <c r="C500" i="3" s="1"/>
  <c r="C551" i="3" s="1"/>
  <c r="M419" i="3"/>
  <c r="AL288" i="3"/>
  <c r="AL290" i="3" s="1"/>
  <c r="AL291" i="3" s="1"/>
  <c r="X288" i="3"/>
  <c r="X290" i="3" s="1"/>
  <c r="X291" i="3" s="1"/>
  <c r="D495" i="3"/>
  <c r="D546" i="3" s="1"/>
  <c r="M495" i="3"/>
  <c r="M546" i="3" s="1"/>
  <c r="E420" i="3"/>
  <c r="E421" i="3"/>
  <c r="AL240" i="3"/>
  <c r="AL241" i="3" s="1"/>
  <c r="AM244" i="3" s="1"/>
  <c r="AM248" i="3" s="1"/>
  <c r="AL248" i="3" s="1"/>
  <c r="H508" i="3" s="1"/>
  <c r="H559" i="3" s="1"/>
  <c r="AZ288" i="3"/>
  <c r="AZ290" i="3" s="1"/>
  <c r="AZ291" i="3" s="1"/>
  <c r="M420" i="3"/>
  <c r="BN288" i="3"/>
  <c r="BN290" i="3" s="1"/>
  <c r="BN291" i="3" s="1"/>
  <c r="AS288" i="3"/>
  <c r="AS290" i="3" s="1"/>
  <c r="AS291" i="3" s="1"/>
  <c r="C132" i="3"/>
  <c r="L495" i="3"/>
  <c r="L546" i="3" s="1"/>
  <c r="C288" i="3"/>
  <c r="Q240" i="3"/>
  <c r="Q241" i="3" s="1"/>
  <c r="R244" i="3" s="1"/>
  <c r="R246" i="3" s="1"/>
  <c r="C495" i="3"/>
  <c r="C546" i="3" s="1"/>
  <c r="E437" i="3"/>
  <c r="BU240" i="3"/>
  <c r="BU241" i="3" s="1"/>
  <c r="BV244" i="3" s="1"/>
  <c r="BV246" i="3" s="1"/>
  <c r="AS240" i="3"/>
  <c r="AS241" i="3" s="1"/>
  <c r="AT244" i="3" s="1"/>
  <c r="AT243" i="3" s="1"/>
  <c r="I495" i="3"/>
  <c r="I546" i="3" s="1"/>
  <c r="AE221" i="3"/>
  <c r="U420" i="3"/>
  <c r="J240" i="3"/>
  <c r="J241" i="3" s="1"/>
  <c r="K244" i="3" s="1"/>
  <c r="K243" i="3" s="1"/>
  <c r="AE240" i="3"/>
  <c r="AE241" i="3" s="1"/>
  <c r="AF244" i="3" s="1"/>
  <c r="AF245" i="3" s="1"/>
  <c r="C54" i="3"/>
  <c r="Q202" i="3" s="1"/>
  <c r="Q203" i="3" s="1" a="1"/>
  <c r="Q203" i="3" s="1"/>
  <c r="U418" i="3"/>
  <c r="Q288" i="3"/>
  <c r="Q290" i="3" s="1"/>
  <c r="Q291" i="3" s="1"/>
  <c r="Q221" i="3"/>
  <c r="E495" i="3"/>
  <c r="E546" i="3" s="1"/>
  <c r="M421" i="3"/>
  <c r="M422" i="3"/>
  <c r="K495" i="3"/>
  <c r="K546" i="3" s="1"/>
  <c r="BG240" i="3"/>
  <c r="BG241" i="3" s="1"/>
  <c r="BH244" i="3" s="1"/>
  <c r="BH247" i="3" s="1"/>
  <c r="C240" i="3"/>
  <c r="C241" i="3" s="1"/>
  <c r="D244" i="3" s="1"/>
  <c r="D246" i="3" s="1"/>
  <c r="H495" i="3"/>
  <c r="H546" i="3" s="1"/>
  <c r="AZ221" i="3"/>
  <c r="AZ240" i="3"/>
  <c r="AZ241" i="3" s="1"/>
  <c r="BA244" i="3" s="1"/>
  <c r="BA245" i="3" s="1"/>
  <c r="AL221" i="3"/>
  <c r="C464" i="3"/>
  <c r="B464" i="3" s="1"/>
  <c r="B465" i="3" s="1"/>
  <c r="B104" i="2" s="1"/>
  <c r="BN221" i="3"/>
  <c r="J221" i="3"/>
  <c r="E419" i="3"/>
  <c r="X221" i="3"/>
  <c r="AC420" i="3"/>
  <c r="M418" i="3"/>
  <c r="AS221" i="3"/>
  <c r="AC418" i="3"/>
  <c r="AC419" i="3"/>
  <c r="BG221" i="3"/>
  <c r="AC421" i="3"/>
  <c r="D476" i="3"/>
  <c r="B476" i="3" s="1"/>
  <c r="B194" i="2"/>
  <c r="B195" i="2"/>
  <c r="B196" i="2"/>
  <c r="F81" i="1"/>
  <c r="B83" i="2"/>
  <c r="E221" i="2" s="1"/>
  <c r="B223" i="2" s="1"/>
  <c r="F89" i="2"/>
  <c r="B328" i="2" s="1"/>
  <c r="C99" i="2" a="1"/>
  <c r="C327" i="2"/>
  <c r="C338" i="2" s="1"/>
  <c r="I27" i="7" s="1"/>
  <c r="BG290" i="3"/>
  <c r="BG291" i="3" s="1"/>
  <c r="E69" i="2"/>
  <c r="Q215" i="3"/>
  <c r="Q217" i="3" s="1"/>
  <c r="C290" i="3"/>
  <c r="C291" i="3" s="1"/>
  <c r="E61" i="3"/>
  <c r="X215" i="3"/>
  <c r="X217" i="3" s="1"/>
  <c r="E59" i="3"/>
  <c r="BN215" i="3"/>
  <c r="BN217" i="3" s="1"/>
  <c r="AL215" i="3"/>
  <c r="AL217" i="3" s="1"/>
  <c r="C215" i="3"/>
  <c r="C217" i="3" s="1"/>
  <c r="AZ215" i="3"/>
  <c r="AZ217" i="3" s="1"/>
  <c r="E56" i="2"/>
  <c r="C55" i="2"/>
  <c r="C56" i="2" s="1"/>
  <c r="AS215" i="3"/>
  <c r="AS217" i="3" s="1"/>
  <c r="BU215" i="3"/>
  <c r="BU217" i="3" s="1"/>
  <c r="J215" i="3"/>
  <c r="J217" i="3" s="1"/>
  <c r="AE215" i="3"/>
  <c r="AE217" i="3" s="1"/>
  <c r="BG215" i="3"/>
  <c r="BG217" i="3" s="1"/>
  <c r="B55" i="2"/>
  <c r="B56" i="2" s="1"/>
  <c r="C219" i="2" s="1"/>
  <c r="AE290" i="3"/>
  <c r="AE291" i="3" s="1"/>
  <c r="C169" i="3"/>
  <c r="C640" i="3" s="1"/>
  <c r="C604" i="3" s="1"/>
  <c r="K169" i="3"/>
  <c r="AM169" i="3"/>
  <c r="BH169" i="3"/>
  <c r="BV169" i="3"/>
  <c r="X169" i="3"/>
  <c r="F640" i="3" s="1"/>
  <c r="F604" i="3" s="1"/>
  <c r="AZ169" i="3"/>
  <c r="J640" i="3" s="1"/>
  <c r="J604" i="3" s="1"/>
  <c r="BN169" i="3"/>
  <c r="L640" i="3" s="1"/>
  <c r="L604" i="3" s="1"/>
  <c r="AF169" i="3"/>
  <c r="Q169" i="3"/>
  <c r="E640" i="3" s="1"/>
  <c r="E604" i="3" s="1"/>
  <c r="AS169" i="3"/>
  <c r="I640" i="3" s="1"/>
  <c r="I604" i="3" s="1"/>
  <c r="C127" i="3"/>
  <c r="C400" i="3" s="1"/>
  <c r="AE169" i="3"/>
  <c r="G640" i="3" s="1"/>
  <c r="G604" i="3" s="1"/>
  <c r="D169" i="3"/>
  <c r="Y169" i="3"/>
  <c r="BA169" i="3"/>
  <c r="BO169" i="3"/>
  <c r="J169" i="3"/>
  <c r="D640" i="3" s="1"/>
  <c r="D604" i="3" s="1"/>
  <c r="C126" i="3"/>
  <c r="AL169" i="3"/>
  <c r="H640" i="3" s="1"/>
  <c r="H604" i="3" s="1"/>
  <c r="BG169" i="3"/>
  <c r="K640" i="3" s="1"/>
  <c r="K604" i="3" s="1"/>
  <c r="BU169" i="3"/>
  <c r="M640" i="3" s="1"/>
  <c r="M604" i="3" s="1"/>
  <c r="R169" i="3"/>
  <c r="AT169" i="3"/>
  <c r="Y245" i="3"/>
  <c r="Y247" i="3"/>
  <c r="Y248" i="3"/>
  <c r="X248" i="3" s="1"/>
  <c r="F508" i="3" s="1"/>
  <c r="F559" i="3" s="1"/>
  <c r="Y243" i="3"/>
  <c r="Y246" i="3"/>
  <c r="BO243" i="3"/>
  <c r="BO248" i="3"/>
  <c r="BN248" i="3" s="1"/>
  <c r="L508" i="3" s="1"/>
  <c r="L559" i="3" s="1"/>
  <c r="BO246" i="3"/>
  <c r="BO247" i="3"/>
  <c r="BO245" i="3"/>
  <c r="AT248" i="3" l="1"/>
  <c r="AS248" i="3" s="1"/>
  <c r="I508" i="3" s="1"/>
  <c r="I559" i="3" s="1"/>
  <c r="AT246" i="3"/>
  <c r="AT245" i="3"/>
  <c r="BA243" i="3"/>
  <c r="AT247" i="3"/>
  <c r="AP426" i="3"/>
  <c r="E426" i="3"/>
  <c r="E427" i="3" s="1"/>
  <c r="BA246" i="3"/>
  <c r="BA247" i="3"/>
  <c r="BA248" i="3"/>
  <c r="AZ248" i="3" s="1"/>
  <c r="J508" i="3" s="1"/>
  <c r="J559" i="3" s="1"/>
  <c r="J616" i="3" s="1"/>
  <c r="O49" i="1" s="1"/>
  <c r="J500" i="3"/>
  <c r="J551" i="3" s="1"/>
  <c r="J608" i="3" s="1"/>
  <c r="O41" i="1" s="1"/>
  <c r="U426" i="3"/>
  <c r="U428" i="3" s="1"/>
  <c r="K248" i="3"/>
  <c r="J248" i="3" s="1"/>
  <c r="D508" i="3" s="1"/>
  <c r="D559" i="3" s="1"/>
  <c r="D616" i="3" s="1"/>
  <c r="I49" i="1" s="1"/>
  <c r="AM245" i="3"/>
  <c r="D500" i="3"/>
  <c r="D551" i="3" s="1"/>
  <c r="D608" i="3" s="1"/>
  <c r="I41" i="1" s="1"/>
  <c r="H500" i="3"/>
  <c r="H551" i="3" s="1"/>
  <c r="H608" i="3" s="1"/>
  <c r="M41" i="1" s="1"/>
  <c r="G500" i="3"/>
  <c r="G551" i="3" s="1"/>
  <c r="G608" i="3" s="1"/>
  <c r="L41" i="1" s="1"/>
  <c r="L500" i="3"/>
  <c r="L551" i="3" s="1"/>
  <c r="L608" i="3" s="1"/>
  <c r="Q41" i="1" s="1"/>
  <c r="AM247" i="3"/>
  <c r="I500" i="3"/>
  <c r="I551" i="3" s="1"/>
  <c r="I608" i="3" s="1"/>
  <c r="N41" i="1" s="1"/>
  <c r="R248" i="3"/>
  <c r="Q248" i="3" s="1"/>
  <c r="E508" i="3" s="1"/>
  <c r="E559" i="3" s="1"/>
  <c r="E616" i="3" s="1"/>
  <c r="J49" i="1" s="1"/>
  <c r="F500" i="3"/>
  <c r="F551" i="3" s="1"/>
  <c r="F608" i="3" s="1"/>
  <c r="K41" i="1" s="1"/>
  <c r="K247" i="3"/>
  <c r="R245" i="3"/>
  <c r="R243" i="3"/>
  <c r="K246" i="3"/>
  <c r="X202" i="3"/>
  <c r="X203" i="3" s="1" a="1"/>
  <c r="X203" i="3" s="1"/>
  <c r="R247" i="3"/>
  <c r="K500" i="3"/>
  <c r="K551" i="3" s="1"/>
  <c r="K608" i="3" s="1"/>
  <c r="P41" i="1" s="1"/>
  <c r="E500" i="3"/>
  <c r="E551" i="3" s="1"/>
  <c r="E608" i="3" s="1"/>
  <c r="J41" i="1" s="1"/>
  <c r="BH248" i="3"/>
  <c r="BG248" i="3" s="1"/>
  <c r="K508" i="3" s="1"/>
  <c r="K559" i="3" s="1"/>
  <c r="K616" i="3" s="1"/>
  <c r="P49" i="1" s="1"/>
  <c r="K245" i="3"/>
  <c r="AM246" i="3"/>
  <c r="M500" i="3"/>
  <c r="M551" i="3" s="1"/>
  <c r="M608" i="3" s="1"/>
  <c r="R41" i="1" s="1"/>
  <c r="AM243" i="3"/>
  <c r="AE202" i="3"/>
  <c r="AE203" i="3" s="1" a="1"/>
  <c r="AE203" i="3" s="1"/>
  <c r="BV247" i="3"/>
  <c r="M426" i="3"/>
  <c r="C127" i="2" s="1"/>
  <c r="BH243" i="3"/>
  <c r="BG202" i="3"/>
  <c r="BH203" i="3" s="1" a="1"/>
  <c r="BH203" i="3" s="1"/>
  <c r="AZ202" i="3"/>
  <c r="BB203" i="3" s="1" a="1"/>
  <c r="BB203" i="3" s="1"/>
  <c r="BV248" i="3"/>
  <c r="BU248" i="3" s="1"/>
  <c r="M508" i="3" s="1"/>
  <c r="M559" i="3" s="1"/>
  <c r="M616" i="3" s="1"/>
  <c r="R49" i="1" s="1"/>
  <c r="D243" i="3"/>
  <c r="AF248" i="3"/>
  <c r="AE248" i="3" s="1"/>
  <c r="G508" i="3" s="1"/>
  <c r="G559" i="3" s="1"/>
  <c r="G616" i="3" s="1"/>
  <c r="L49" i="1" s="1"/>
  <c r="R203" i="3" a="1"/>
  <c r="R203" i="3" s="1"/>
  <c r="D247" i="3"/>
  <c r="AF247" i="3"/>
  <c r="BH246" i="3"/>
  <c r="BN202" i="3"/>
  <c r="BN203" i="3" s="1" a="1"/>
  <c r="BN203" i="3" s="1"/>
  <c r="AL202" i="3"/>
  <c r="AL203" i="3" s="1" a="1"/>
  <c r="AL203" i="3" s="1"/>
  <c r="D248" i="3"/>
  <c r="C248" i="3" s="1"/>
  <c r="C508" i="3" s="1"/>
  <c r="C559" i="3" s="1"/>
  <c r="C616" i="3" s="1"/>
  <c r="H49" i="1" s="1"/>
  <c r="BU202" i="3"/>
  <c r="BU203" i="3" s="1" a="1"/>
  <c r="BU203" i="3" s="1"/>
  <c r="AF246" i="3"/>
  <c r="BV243" i="3"/>
  <c r="D245" i="3"/>
  <c r="BV245" i="3"/>
  <c r="C202" i="3"/>
  <c r="C203" i="3" s="1" a="1"/>
  <c r="C203" i="3" s="1"/>
  <c r="BH245" i="3"/>
  <c r="J202" i="3"/>
  <c r="J203" i="3" s="1" a="1"/>
  <c r="J203" i="3" s="1"/>
  <c r="AF243" i="3"/>
  <c r="AS202" i="3"/>
  <c r="AS203" i="3" s="1" a="1"/>
  <c r="AS203" i="3" s="1"/>
  <c r="S203" i="3" a="1"/>
  <c r="S203" i="3" s="1"/>
  <c r="A289" i="2"/>
  <c r="AC426" i="3"/>
  <c r="AD426" i="3" s="1"/>
  <c r="B580" i="3" s="1"/>
  <c r="C476" i="3"/>
  <c r="C477" i="3" s="1"/>
  <c r="B335" i="2"/>
  <c r="G333" i="2"/>
  <c r="F333" i="2" s="1"/>
  <c r="E83" i="2"/>
  <c r="D338" i="2" s="1"/>
  <c r="O93" i="1" s="1"/>
  <c r="B477" i="3"/>
  <c r="B488" i="3"/>
  <c r="O37" i="1"/>
  <c r="H37" i="1"/>
  <c r="R37" i="1"/>
  <c r="K37" i="1"/>
  <c r="K603" i="3"/>
  <c r="P36" i="1" s="1"/>
  <c r="P37" i="1"/>
  <c r="G603" i="3"/>
  <c r="L36" i="1" s="1"/>
  <c r="L37" i="1"/>
  <c r="H603" i="3"/>
  <c r="M36" i="1" s="1"/>
  <c r="M37" i="1"/>
  <c r="I603" i="3"/>
  <c r="N36" i="1" s="1"/>
  <c r="N37" i="1"/>
  <c r="D603" i="3"/>
  <c r="I36" i="1" s="1"/>
  <c r="I37" i="1"/>
  <c r="E603" i="3"/>
  <c r="J36" i="1" s="1"/>
  <c r="J37" i="1"/>
  <c r="L603" i="3"/>
  <c r="Q36" i="1" s="1"/>
  <c r="Q37" i="1"/>
  <c r="C99" i="2"/>
  <c r="B161" i="2"/>
  <c r="M93" i="1"/>
  <c r="C608" i="3"/>
  <c r="H41" i="1" s="1"/>
  <c r="B330" i="2"/>
  <c r="C330" i="2" s="1"/>
  <c r="R75" i="1"/>
  <c r="L616" i="3"/>
  <c r="Q49" i="1" s="1"/>
  <c r="F616" i="3"/>
  <c r="K49" i="1" s="1"/>
  <c r="H616" i="3"/>
  <c r="M49" i="1" s="1"/>
  <c r="I616" i="3"/>
  <c r="N49" i="1" s="1"/>
  <c r="BN172" i="3"/>
  <c r="BN173" i="3" s="1"/>
  <c r="BN179" i="3" s="1"/>
  <c r="BN317" i="3" s="1"/>
  <c r="AE172" i="3"/>
  <c r="AE173" i="3" s="1"/>
  <c r="AE179" i="3" s="1"/>
  <c r="AE317" i="3" s="1"/>
  <c r="C601" i="3"/>
  <c r="H34" i="1" s="1"/>
  <c r="C607" i="3"/>
  <c r="H40" i="1" s="1"/>
  <c r="AS172" i="3"/>
  <c r="AS173" i="3" s="1"/>
  <c r="AS179" i="3" s="1"/>
  <c r="AS317" i="3" s="1"/>
  <c r="AZ172" i="3"/>
  <c r="AZ173" i="3" s="1"/>
  <c r="AZ179" i="3" s="1"/>
  <c r="AZ317" i="3" s="1"/>
  <c r="L607" i="3"/>
  <c r="Q40" i="1" s="1"/>
  <c r="L601" i="3"/>
  <c r="Q34" i="1" s="1"/>
  <c r="Q172" i="3"/>
  <c r="Q173" i="3" s="1"/>
  <c r="Q179" i="3" s="1"/>
  <c r="Q317" i="3" s="1"/>
  <c r="X172" i="3"/>
  <c r="X173" i="3" s="1"/>
  <c r="X179" i="3" s="1"/>
  <c r="X317" i="3" s="1"/>
  <c r="J607" i="3"/>
  <c r="O40" i="1" s="1"/>
  <c r="J601" i="3"/>
  <c r="O34" i="1" s="1"/>
  <c r="M601" i="3"/>
  <c r="R34" i="1" s="1"/>
  <c r="M607" i="3"/>
  <c r="R40" i="1" s="1"/>
  <c r="C172" i="3"/>
  <c r="C173" i="3" s="1"/>
  <c r="C179" i="3" s="1"/>
  <c r="C317" i="3" s="1"/>
  <c r="F607" i="3"/>
  <c r="K40" i="1" s="1"/>
  <c r="F601" i="3"/>
  <c r="K34" i="1" s="1"/>
  <c r="K601" i="3"/>
  <c r="P34" i="1" s="1"/>
  <c r="K607" i="3"/>
  <c r="P40" i="1" s="1"/>
  <c r="G607" i="3"/>
  <c r="L40" i="1" s="1"/>
  <c r="G601" i="3"/>
  <c r="L34" i="1" s="1"/>
  <c r="BU172" i="3"/>
  <c r="BU173" i="3" s="1"/>
  <c r="BU179" i="3" s="1"/>
  <c r="BU317" i="3" s="1"/>
  <c r="J603" i="3"/>
  <c r="H601" i="3"/>
  <c r="M34" i="1" s="1"/>
  <c r="H607" i="3"/>
  <c r="M40" i="1" s="1"/>
  <c r="BG172" i="3"/>
  <c r="BG173" i="3" s="1"/>
  <c r="BG179" i="3" s="1"/>
  <c r="BG317" i="3" s="1"/>
  <c r="I601" i="3"/>
  <c r="N34" i="1" s="1"/>
  <c r="I607" i="3"/>
  <c r="N40" i="1" s="1"/>
  <c r="AL172" i="3"/>
  <c r="AL173" i="3" s="1"/>
  <c r="AL179" i="3" s="1"/>
  <c r="AL317" i="3" s="1"/>
  <c r="F603" i="3"/>
  <c r="C603" i="3"/>
  <c r="D601" i="3"/>
  <c r="I34" i="1" s="1"/>
  <c r="D607" i="3"/>
  <c r="I40" i="1" s="1"/>
  <c r="E607" i="3"/>
  <c r="J40" i="1" s="1"/>
  <c r="E601" i="3"/>
  <c r="J34" i="1" s="1"/>
  <c r="J172" i="3"/>
  <c r="J173" i="3" s="1"/>
  <c r="J179" i="3" s="1"/>
  <c r="J317" i="3" s="1"/>
  <c r="M603" i="3"/>
  <c r="E428" i="3" l="1"/>
  <c r="E431" i="3" s="1"/>
  <c r="B127" i="2"/>
  <c r="B126" i="2"/>
  <c r="B128" i="2" s="1"/>
  <c r="AC427" i="3"/>
  <c r="AE352" i="3" s="1"/>
  <c r="D127" i="2"/>
  <c r="U427" i="3"/>
  <c r="C524" i="3" s="1"/>
  <c r="C575" i="3" s="1"/>
  <c r="D126" i="2"/>
  <c r="D128" i="2" s="1"/>
  <c r="AV426" i="3"/>
  <c r="AQ426" i="3"/>
  <c r="AQ427" i="3"/>
  <c r="AP428" i="3"/>
  <c r="AP427" i="3"/>
  <c r="AP430" i="3" s="1"/>
  <c r="AC428" i="3"/>
  <c r="AE353" i="3" s="1"/>
  <c r="AE354" i="3" s="1"/>
  <c r="AD427" i="3"/>
  <c r="BG203" i="3" a="1"/>
  <c r="BG203" i="3" s="1"/>
  <c r="AI426" i="3"/>
  <c r="AI428" i="3" s="1"/>
  <c r="BI203" i="3" a="1"/>
  <c r="BI203" i="3" s="1"/>
  <c r="C488" i="3"/>
  <c r="AM203" i="3" a="1"/>
  <c r="AM203" i="3" s="1"/>
  <c r="AN203" i="3" a="1"/>
  <c r="AN203" i="3" s="1"/>
  <c r="E203" i="3" a="1"/>
  <c r="E203" i="3" s="1"/>
  <c r="BA203" i="3" a="1"/>
  <c r="BA203" i="3" s="1"/>
  <c r="M427" i="3"/>
  <c r="I519" i="3" s="1"/>
  <c r="I570" i="3" s="1"/>
  <c r="AU203" i="3" a="1"/>
  <c r="AU203" i="3" s="1"/>
  <c r="M428" i="3"/>
  <c r="BU331" i="3" s="1"/>
  <c r="BU332" i="3" s="1"/>
  <c r="C126" i="2"/>
  <c r="B131" i="2" s="1"/>
  <c r="B320" i="2" s="1"/>
  <c r="Y203" i="3" a="1"/>
  <c r="Y203" i="3" s="1"/>
  <c r="Z203" i="3" a="1"/>
  <c r="Z203" i="3" s="1"/>
  <c r="K203" i="3" a="1"/>
  <c r="K203" i="3" s="1"/>
  <c r="AG203" i="3" a="1"/>
  <c r="AG203" i="3" s="1"/>
  <c r="BO203" i="3" a="1"/>
  <c r="BO203" i="3" s="1"/>
  <c r="BW203" i="3" a="1"/>
  <c r="BW203" i="3" s="1"/>
  <c r="L203" i="3" a="1"/>
  <c r="L203" i="3" s="1"/>
  <c r="BV203" i="3" a="1"/>
  <c r="BV203" i="3" s="1"/>
  <c r="BP203" i="3" a="1"/>
  <c r="BP203" i="3" s="1"/>
  <c r="D203" i="3" a="1"/>
  <c r="D203" i="3" s="1"/>
  <c r="AZ203" i="3" a="1"/>
  <c r="AZ203" i="3" s="1"/>
  <c r="AF203" i="3" a="1"/>
  <c r="AF203" i="3" s="1"/>
  <c r="Q204" i="3"/>
  <c r="E497" i="3" s="1"/>
  <c r="E548" i="3" s="1"/>
  <c r="E605" i="3" s="1"/>
  <c r="E643" i="3" s="1"/>
  <c r="AT203" i="3" a="1"/>
  <c r="AT203" i="3" s="1"/>
  <c r="G331" i="2"/>
  <c r="F331" i="2" s="1"/>
  <c r="B333" i="2"/>
  <c r="R84" i="1"/>
  <c r="M27" i="7"/>
  <c r="E338" i="2"/>
  <c r="BG352" i="3"/>
  <c r="J352" i="3"/>
  <c r="AL352" i="3"/>
  <c r="AL353" i="3"/>
  <c r="AL354" i="3" s="1"/>
  <c r="Q353" i="3"/>
  <c r="Q354" i="3" s="1"/>
  <c r="B110" i="2"/>
  <c r="B111" i="2" s="1"/>
  <c r="B132" i="2"/>
  <c r="O107" i="2"/>
  <c r="O108" i="2"/>
  <c r="O109" i="2"/>
  <c r="O110" i="2"/>
  <c r="O106" i="2"/>
  <c r="O111" i="2"/>
  <c r="B105" i="2"/>
  <c r="B106" i="2"/>
  <c r="B107" i="2"/>
  <c r="J534" i="3"/>
  <c r="L534" i="3"/>
  <c r="D534" i="3"/>
  <c r="B622" i="3"/>
  <c r="AC430" i="3"/>
  <c r="AC450" i="3" s="1"/>
  <c r="AC451" i="3" s="1"/>
  <c r="H529" i="3"/>
  <c r="H580" i="3" s="1"/>
  <c r="F529" i="3"/>
  <c r="F580" i="3" s="1"/>
  <c r="M529" i="3"/>
  <c r="M580" i="3" s="1"/>
  <c r="J180" i="3"/>
  <c r="D494" i="3" s="1"/>
  <c r="D545" i="3" s="1"/>
  <c r="D602" i="3" s="1"/>
  <c r="BG180" i="3"/>
  <c r="K494" i="3" s="1"/>
  <c r="K545" i="3" s="1"/>
  <c r="K602" i="3" s="1"/>
  <c r="AZ180" i="3"/>
  <c r="J494" i="3" s="1"/>
  <c r="J545" i="3" s="1"/>
  <c r="J602" i="3" s="1"/>
  <c r="O35" i="1" s="1"/>
  <c r="AS180" i="3"/>
  <c r="I494" i="3" s="1"/>
  <c r="I545" i="3" s="1"/>
  <c r="I602" i="3" s="1"/>
  <c r="X180" i="3"/>
  <c r="F494" i="3" s="1"/>
  <c r="F545" i="3" s="1"/>
  <c r="F602" i="3" s="1"/>
  <c r="K35" i="1" s="1"/>
  <c r="AL180" i="3"/>
  <c r="H494" i="3" s="1"/>
  <c r="H545" i="3" s="1"/>
  <c r="H602" i="3" s="1"/>
  <c r="BU180" i="3"/>
  <c r="M494" i="3" s="1"/>
  <c r="M545" i="3" s="1"/>
  <c r="M602" i="3" s="1"/>
  <c r="R35" i="1" s="1"/>
  <c r="C180" i="3"/>
  <c r="C494" i="3" s="1"/>
  <c r="C545" i="3" s="1"/>
  <c r="C602" i="3" s="1"/>
  <c r="H35" i="1" s="1"/>
  <c r="Q180" i="3"/>
  <c r="E494" i="3" s="1"/>
  <c r="E545" i="3" s="1"/>
  <c r="E602" i="3" s="1"/>
  <c r="AE180" i="3"/>
  <c r="G494" i="3" s="1"/>
  <c r="G545" i="3" s="1"/>
  <c r="G602" i="3" s="1"/>
  <c r="BN180" i="3"/>
  <c r="L494" i="3" s="1"/>
  <c r="L545" i="3" s="1"/>
  <c r="L602" i="3" s="1"/>
  <c r="E514" i="3"/>
  <c r="E565" i="3" s="1"/>
  <c r="C320" i="3"/>
  <c r="D514" i="3"/>
  <c r="D565" i="3" s="1"/>
  <c r="K514" i="3"/>
  <c r="K565" i="3" s="1"/>
  <c r="X320" i="3"/>
  <c r="AZ320" i="3"/>
  <c r="AE320" i="3"/>
  <c r="AL320" i="3"/>
  <c r="J320" i="3"/>
  <c r="BN321" i="3"/>
  <c r="BN322" i="3" s="1"/>
  <c r="AS321" i="3"/>
  <c r="AS322" i="3" s="1"/>
  <c r="C514" i="3"/>
  <c r="C565" i="3" s="1"/>
  <c r="D670" i="3"/>
  <c r="AS176" i="3"/>
  <c r="AS181" i="3" s="1"/>
  <c r="AS174" i="3"/>
  <c r="AS251" i="3"/>
  <c r="BG176" i="3"/>
  <c r="BG181" i="3" s="1"/>
  <c r="BG174" i="3"/>
  <c r="BG251" i="3"/>
  <c r="Q176" i="3"/>
  <c r="Q181" i="3" s="1"/>
  <c r="Q174" i="3"/>
  <c r="Q251" i="3"/>
  <c r="C176" i="3"/>
  <c r="C181" i="3" s="1"/>
  <c r="C251" i="3"/>
  <c r="C174" i="3"/>
  <c r="J251" i="3"/>
  <c r="J174" i="3"/>
  <c r="J176" i="3"/>
  <c r="J181" i="3" s="1"/>
  <c r="H36" i="1"/>
  <c r="K36" i="1"/>
  <c r="O36" i="1"/>
  <c r="AL251" i="3"/>
  <c r="AL176" i="3"/>
  <c r="AL181" i="3" s="1"/>
  <c r="AL174" i="3"/>
  <c r="BU174" i="3"/>
  <c r="BU176" i="3"/>
  <c r="BU181" i="3" s="1"/>
  <c r="BU251" i="3"/>
  <c r="X174" i="3"/>
  <c r="X251" i="3"/>
  <c r="X176" i="3"/>
  <c r="X181" i="3" s="1"/>
  <c r="AZ176" i="3"/>
  <c r="AZ181" i="3" s="1"/>
  <c r="AZ251" i="3"/>
  <c r="AZ174" i="3"/>
  <c r="AE251" i="3"/>
  <c r="AE174" i="3"/>
  <c r="AE176" i="3"/>
  <c r="AE181" i="3" s="1"/>
  <c r="BN174" i="3"/>
  <c r="BN251" i="3"/>
  <c r="BN176" i="3"/>
  <c r="BN181" i="3" s="1"/>
  <c r="R36" i="1"/>
  <c r="Q320" i="3"/>
  <c r="AS320" i="3"/>
  <c r="M429" i="3"/>
  <c r="BU320" i="3"/>
  <c r="J514" i="3"/>
  <c r="J565" i="3" s="1"/>
  <c r="M514" i="3"/>
  <c r="M565" i="3" s="1"/>
  <c r="F514" i="3"/>
  <c r="F565" i="3" s="1"/>
  <c r="I514" i="3"/>
  <c r="I565" i="3" s="1"/>
  <c r="G514" i="3"/>
  <c r="G565" i="3" s="1"/>
  <c r="BG320" i="3"/>
  <c r="H514" i="3"/>
  <c r="H565" i="3" s="1"/>
  <c r="L514" i="3"/>
  <c r="L565" i="3" s="1"/>
  <c r="BN320" i="3"/>
  <c r="E445" i="3"/>
  <c r="E446" i="3" s="1"/>
  <c r="BU321" i="3"/>
  <c r="BU322" i="3" s="1"/>
  <c r="AZ321" i="3"/>
  <c r="AZ322" i="3" s="1"/>
  <c r="AL321" i="3"/>
  <c r="AL322" i="3" s="1"/>
  <c r="Q321" i="3"/>
  <c r="Q322" i="3" s="1"/>
  <c r="J321" i="3"/>
  <c r="J322" i="3" s="1"/>
  <c r="BG321" i="3"/>
  <c r="BG322" i="3" s="1"/>
  <c r="AE321" i="3"/>
  <c r="AE322" i="3" s="1"/>
  <c r="X321" i="3"/>
  <c r="X322" i="3" s="1"/>
  <c r="E436" i="3"/>
  <c r="E429" i="3"/>
  <c r="C321" i="3" s="1"/>
  <c r="C322" i="3" s="1"/>
  <c r="E432" i="3"/>
  <c r="E433" i="3"/>
  <c r="BG340" i="3"/>
  <c r="Q340" i="3"/>
  <c r="BU340" i="3"/>
  <c r="G524" i="3"/>
  <c r="G575" i="3" s="1"/>
  <c r="AL341" i="3"/>
  <c r="AL342" i="3" s="1"/>
  <c r="C341" i="3"/>
  <c r="C342" i="3" s="1"/>
  <c r="U431" i="3"/>
  <c r="X341" i="3"/>
  <c r="X342" i="3" s="1"/>
  <c r="J341" i="3"/>
  <c r="J342" i="3" s="1"/>
  <c r="BN341" i="3"/>
  <c r="BN342" i="3" s="1"/>
  <c r="U436" i="3"/>
  <c r="AZ341" i="3"/>
  <c r="AZ342" i="3" s="1"/>
  <c r="AS341" i="3"/>
  <c r="AS342" i="3" s="1"/>
  <c r="AE341" i="3"/>
  <c r="AE342" i="3" s="1"/>
  <c r="Q341" i="3"/>
  <c r="Q342" i="3" s="1"/>
  <c r="BG341" i="3"/>
  <c r="BG342" i="3" s="1"/>
  <c r="U445" i="3"/>
  <c r="U446" i="3" s="1"/>
  <c r="BU341" i="3"/>
  <c r="BU342" i="3" s="1"/>
  <c r="U429" i="3"/>
  <c r="D672" i="3" l="1"/>
  <c r="C529" i="3"/>
  <c r="C580" i="3" s="1"/>
  <c r="H534" i="3"/>
  <c r="AS352" i="3"/>
  <c r="L529" i="3"/>
  <c r="L580" i="3" s="1"/>
  <c r="L622" i="3" s="1"/>
  <c r="Q55" i="1" s="1"/>
  <c r="E534" i="3"/>
  <c r="X352" i="3"/>
  <c r="D529" i="3"/>
  <c r="D580" i="3" s="1"/>
  <c r="C352" i="3"/>
  <c r="AZ352" i="3"/>
  <c r="K529" i="3"/>
  <c r="K580" i="3" s="1"/>
  <c r="G534" i="3"/>
  <c r="BU352" i="3"/>
  <c r="E524" i="3"/>
  <c r="E575" i="3" s="1"/>
  <c r="I529" i="3"/>
  <c r="I580" i="3" s="1"/>
  <c r="K534" i="3"/>
  <c r="BN352" i="3"/>
  <c r="BU353" i="3"/>
  <c r="BU354" i="3" s="1"/>
  <c r="BN353" i="3"/>
  <c r="BN354" i="3" s="1"/>
  <c r="AS353" i="3"/>
  <c r="AS354" i="3" s="1"/>
  <c r="AC429" i="3"/>
  <c r="J353" i="3"/>
  <c r="J354" i="3" s="1"/>
  <c r="AC436" i="3"/>
  <c r="X353" i="3"/>
  <c r="X354" i="3" s="1"/>
  <c r="AC445" i="3"/>
  <c r="AC446" i="3" s="1"/>
  <c r="BG353" i="3"/>
  <c r="BG354" i="3" s="1"/>
  <c r="C353" i="3"/>
  <c r="C354" i="3" s="1"/>
  <c r="AZ353" i="3"/>
  <c r="AZ354" i="3" s="1"/>
  <c r="J340" i="3"/>
  <c r="AI427" i="3"/>
  <c r="C534" i="3" s="1"/>
  <c r="AE340" i="3"/>
  <c r="F524" i="3"/>
  <c r="F575" i="3" s="1"/>
  <c r="AL340" i="3"/>
  <c r="AS340" i="3"/>
  <c r="M524" i="3"/>
  <c r="M575" i="3" s="1"/>
  <c r="I524" i="3"/>
  <c r="I575" i="3" s="1"/>
  <c r="H524" i="3"/>
  <c r="H575" i="3" s="1"/>
  <c r="X340" i="3"/>
  <c r="L524" i="3"/>
  <c r="L575" i="3" s="1"/>
  <c r="AZ340" i="3"/>
  <c r="J524" i="3"/>
  <c r="J575" i="3" s="1"/>
  <c r="D524" i="3"/>
  <c r="D575" i="3" s="1"/>
  <c r="K524" i="3"/>
  <c r="K575" i="3" s="1"/>
  <c r="C340" i="3"/>
  <c r="BN340" i="3"/>
  <c r="J529" i="3"/>
  <c r="J580" i="3" s="1"/>
  <c r="J622" i="3" s="1"/>
  <c r="O55" i="1" s="1"/>
  <c r="AJ426" i="3"/>
  <c r="F534" i="3"/>
  <c r="Q352" i="3"/>
  <c r="E529" i="3"/>
  <c r="E580" i="3" s="1"/>
  <c r="E622" i="3" s="1"/>
  <c r="J55" i="1" s="1"/>
  <c r="G529" i="3"/>
  <c r="G580" i="3" s="1"/>
  <c r="G622" i="3" s="1"/>
  <c r="L55" i="1" s="1"/>
  <c r="I534" i="3"/>
  <c r="M534" i="3"/>
  <c r="AP445" i="3"/>
  <c r="AP446" i="3" s="1"/>
  <c r="AP431" i="3"/>
  <c r="AP429" i="3"/>
  <c r="AP436" i="3"/>
  <c r="AW427" i="3"/>
  <c r="AV428" i="3"/>
  <c r="AV427" i="3"/>
  <c r="AV430" i="3" s="1"/>
  <c r="AW426" i="3"/>
  <c r="BN331" i="3"/>
  <c r="BN332" i="3" s="1"/>
  <c r="AP450" i="3"/>
  <c r="AP451" i="3" s="1"/>
  <c r="AP437" i="3"/>
  <c r="J519" i="3"/>
  <c r="J570" i="3" s="1"/>
  <c r="L519" i="3"/>
  <c r="L570" i="3" s="1"/>
  <c r="BN330" i="3"/>
  <c r="H519" i="3"/>
  <c r="H570" i="3" s="1"/>
  <c r="AL330" i="3"/>
  <c r="AE330" i="3"/>
  <c r="D671" i="3"/>
  <c r="C673" i="3" s="1"/>
  <c r="F519" i="3"/>
  <c r="F570" i="3" s="1"/>
  <c r="AJ427" i="3"/>
  <c r="Q330" i="3"/>
  <c r="E519" i="3"/>
  <c r="E570" i="3" s="1"/>
  <c r="M519" i="3"/>
  <c r="M570" i="3" s="1"/>
  <c r="J330" i="3"/>
  <c r="C519" i="3"/>
  <c r="C570" i="3" s="1"/>
  <c r="X330" i="3"/>
  <c r="BU330" i="3"/>
  <c r="K519" i="3"/>
  <c r="K570" i="3" s="1"/>
  <c r="G519" i="3"/>
  <c r="G570" i="3" s="1"/>
  <c r="AS330" i="3"/>
  <c r="D519" i="3"/>
  <c r="D570" i="3" s="1"/>
  <c r="AE204" i="3"/>
  <c r="AE224" i="3" s="1"/>
  <c r="BG204" i="3"/>
  <c r="BG225" i="3" s="1"/>
  <c r="AL331" i="3"/>
  <c r="AL332" i="3" s="1"/>
  <c r="AE331" i="3"/>
  <c r="AE332" i="3" s="1"/>
  <c r="AS331" i="3"/>
  <c r="AS332" i="3" s="1"/>
  <c r="X331" i="3"/>
  <c r="X332" i="3" s="1"/>
  <c r="AZ331" i="3"/>
  <c r="AZ332" i="3" s="1"/>
  <c r="BG330" i="3"/>
  <c r="M445" i="3"/>
  <c r="M446" i="3" s="1"/>
  <c r="Q331" i="3"/>
  <c r="Q332" i="3" s="1"/>
  <c r="BG331" i="3"/>
  <c r="BG332" i="3" s="1"/>
  <c r="C331" i="3"/>
  <c r="C332" i="3" s="1"/>
  <c r="M431" i="3"/>
  <c r="M432" i="3" s="1"/>
  <c r="J331" i="3"/>
  <c r="J332" i="3" s="1"/>
  <c r="AZ330" i="3"/>
  <c r="C330" i="3"/>
  <c r="M436" i="3"/>
  <c r="AL204" i="3"/>
  <c r="H497" i="3" s="1"/>
  <c r="H548" i="3" s="1"/>
  <c r="H605" i="3" s="1"/>
  <c r="H643" i="3" s="1"/>
  <c r="BU204" i="3"/>
  <c r="BU226" i="3" s="1"/>
  <c r="AS204" i="3"/>
  <c r="AS225" i="3" s="1"/>
  <c r="C204" i="3"/>
  <c r="C225" i="3" s="1"/>
  <c r="F126" i="2"/>
  <c r="F127" i="2" s="1"/>
  <c r="F128" i="2" s="1"/>
  <c r="C128" i="2"/>
  <c r="X204" i="3"/>
  <c r="X224" i="3" s="1"/>
  <c r="AZ204" i="3"/>
  <c r="AZ225" i="3" s="1"/>
  <c r="Q224" i="3"/>
  <c r="BN204" i="3"/>
  <c r="BN226" i="3" s="1"/>
  <c r="J204" i="3"/>
  <c r="J226" i="3" s="1"/>
  <c r="Q226" i="3"/>
  <c r="J38" i="1"/>
  <c r="Q225" i="3"/>
  <c r="B112" i="2"/>
  <c r="B120" i="2" s="1"/>
  <c r="B118" i="2"/>
  <c r="C118" i="2" s="1"/>
  <c r="F82" i="1" s="1"/>
  <c r="B119" i="2"/>
  <c r="B113" i="2"/>
  <c r="B121" i="2" s="1"/>
  <c r="J366" i="3"/>
  <c r="J367" i="3" s="1"/>
  <c r="AS366" i="3"/>
  <c r="AS367" i="3" s="1"/>
  <c r="BN366" i="3"/>
  <c r="BN367" i="3" s="1"/>
  <c r="AZ366" i="3"/>
  <c r="AZ367" i="3" s="1"/>
  <c r="Q366" i="3"/>
  <c r="Q367" i="3" s="1"/>
  <c r="BG366" i="3"/>
  <c r="BG367" i="3" s="1"/>
  <c r="BU366" i="3"/>
  <c r="BU367" i="3" s="1"/>
  <c r="X366" i="3"/>
  <c r="X367" i="3" s="1"/>
  <c r="AE366" i="3"/>
  <c r="AE367" i="3" s="1"/>
  <c r="AL366" i="3"/>
  <c r="AL367" i="3" s="1"/>
  <c r="C366" i="3"/>
  <c r="C367" i="3" s="1"/>
  <c r="C632" i="3"/>
  <c r="H65" i="1" s="1"/>
  <c r="J632" i="3"/>
  <c r="O65" i="1" s="1"/>
  <c r="M632" i="3"/>
  <c r="R65" i="1" s="1"/>
  <c r="H632" i="3"/>
  <c r="M65" i="1" s="1"/>
  <c r="E632" i="3"/>
  <c r="J65" i="1" s="1"/>
  <c r="G632" i="3"/>
  <c r="L65" i="1" s="1"/>
  <c r="K632" i="3"/>
  <c r="P65" i="1" s="1"/>
  <c r="I632" i="3"/>
  <c r="N65" i="1" s="1"/>
  <c r="D632" i="3"/>
  <c r="I65" i="1" s="1"/>
  <c r="F632" i="3"/>
  <c r="K65" i="1" s="1"/>
  <c r="L632" i="3"/>
  <c r="Q65" i="1" s="1"/>
  <c r="C622" i="3"/>
  <c r="H55" i="1" s="1"/>
  <c r="D622" i="3"/>
  <c r="I55" i="1" s="1"/>
  <c r="K622" i="3"/>
  <c r="P55" i="1" s="1"/>
  <c r="I622" i="3"/>
  <c r="N55" i="1" s="1"/>
  <c r="C55" i="1"/>
  <c r="F622" i="3"/>
  <c r="K55" i="1" s="1"/>
  <c r="M622" i="3"/>
  <c r="R55" i="1" s="1"/>
  <c r="H622" i="3"/>
  <c r="M55" i="1" s="1"/>
  <c r="AC437" i="3"/>
  <c r="AC431" i="3"/>
  <c r="AC433" i="3" s="1"/>
  <c r="AI430" i="3"/>
  <c r="AI450" i="3" s="1"/>
  <c r="AI451" i="3" s="1"/>
  <c r="AI445" i="3"/>
  <c r="AI446" i="3" s="1"/>
  <c r="AI429" i="3"/>
  <c r="B480" i="3" s="1"/>
  <c r="B585" i="3" s="1"/>
  <c r="B627" i="3" s="1"/>
  <c r="C60" i="1" s="1"/>
  <c r="AI436" i="3"/>
  <c r="C642" i="3"/>
  <c r="AZ252" i="3"/>
  <c r="M642" i="3"/>
  <c r="AE263" i="3" a="1"/>
  <c r="AE263" i="3" s="1"/>
  <c r="AE219" i="3"/>
  <c r="G498" i="3"/>
  <c r="G549" i="3" s="1"/>
  <c r="G606" i="3" s="1"/>
  <c r="L39" i="1" s="1"/>
  <c r="AD219" i="3"/>
  <c r="J502" i="3"/>
  <c r="J553" i="3" s="1"/>
  <c r="J610" i="3" s="1"/>
  <c r="AZ182" i="3"/>
  <c r="J501" i="3" s="1"/>
  <c r="J552" i="3" s="1"/>
  <c r="J609" i="3" s="1"/>
  <c r="O42" i="1" s="1"/>
  <c r="BU252" i="3"/>
  <c r="J642" i="3"/>
  <c r="D502" i="3"/>
  <c r="D553" i="3" s="1"/>
  <c r="D610" i="3" s="1"/>
  <c r="J182" i="3"/>
  <c r="D501" i="3" s="1"/>
  <c r="D552" i="3" s="1"/>
  <c r="D609" i="3" s="1"/>
  <c r="I42" i="1" s="1"/>
  <c r="J35" i="1"/>
  <c r="E642" i="3"/>
  <c r="C502" i="3"/>
  <c r="C553" i="3" s="1"/>
  <c r="C610" i="3" s="1"/>
  <c r="C182" i="3"/>
  <c r="C501" i="3" s="1"/>
  <c r="C552" i="3" s="1"/>
  <c r="C609" i="3" s="1"/>
  <c r="H42" i="1" s="1"/>
  <c r="G502" i="3"/>
  <c r="G553" i="3" s="1"/>
  <c r="G610" i="3" s="1"/>
  <c r="AE182" i="3"/>
  <c r="G501" i="3" s="1"/>
  <c r="G552" i="3" s="1"/>
  <c r="G609" i="3" s="1"/>
  <c r="L42" i="1" s="1"/>
  <c r="W219" i="3"/>
  <c r="X263" i="3" a="1"/>
  <c r="X263" i="3" s="1"/>
  <c r="F498" i="3"/>
  <c r="F549" i="3" s="1"/>
  <c r="F606" i="3" s="1"/>
  <c r="K39" i="1" s="1"/>
  <c r="X219" i="3"/>
  <c r="M502" i="3"/>
  <c r="M553" i="3" s="1"/>
  <c r="M610" i="3" s="1"/>
  <c r="BU182" i="3"/>
  <c r="M501" i="3" s="1"/>
  <c r="M552" i="3" s="1"/>
  <c r="M609" i="3" s="1"/>
  <c r="R42" i="1" s="1"/>
  <c r="Q263" i="3" a="1"/>
  <c r="Q263" i="3" s="1"/>
  <c r="P219" i="3"/>
  <c r="Q219" i="3"/>
  <c r="E498" i="3"/>
  <c r="E549" i="3" s="1"/>
  <c r="E606" i="3" s="1"/>
  <c r="J39" i="1" s="1"/>
  <c r="K502" i="3"/>
  <c r="K553" i="3" s="1"/>
  <c r="K610" i="3" s="1"/>
  <c r="BG182" i="3"/>
  <c r="K501" i="3" s="1"/>
  <c r="K552" i="3" s="1"/>
  <c r="K609" i="3" s="1"/>
  <c r="P42" i="1" s="1"/>
  <c r="L35" i="1"/>
  <c r="G642" i="3"/>
  <c r="BU219" i="3"/>
  <c r="M498" i="3"/>
  <c r="M549" i="3" s="1"/>
  <c r="M606" i="3" s="1"/>
  <c r="R39" i="1" s="1"/>
  <c r="BU263" i="3" a="1"/>
  <c r="BU263" i="3" s="1"/>
  <c r="BT219" i="3"/>
  <c r="AL252" i="3"/>
  <c r="J263" i="3" a="1"/>
  <c r="J263" i="3" s="1"/>
  <c r="J219" i="3"/>
  <c r="I219" i="3"/>
  <c r="D498" i="3"/>
  <c r="D549" i="3" s="1"/>
  <c r="D606" i="3" s="1"/>
  <c r="I39" i="1" s="1"/>
  <c r="BG252" i="3"/>
  <c r="BN219" i="3"/>
  <c r="BN263" i="3" a="1"/>
  <c r="BN263" i="3" s="1"/>
  <c r="BM219" i="3"/>
  <c r="L498" i="3"/>
  <c r="L549" i="3" s="1"/>
  <c r="L606" i="3" s="1"/>
  <c r="Q39" i="1" s="1"/>
  <c r="F642" i="3"/>
  <c r="J252" i="3"/>
  <c r="Q252" i="3"/>
  <c r="Q264" i="3" s="1" a="1"/>
  <c r="Q264" i="3" s="1"/>
  <c r="N35" i="1"/>
  <c r="I642" i="3"/>
  <c r="Q35" i="1"/>
  <c r="L642" i="3"/>
  <c r="AE252" i="3"/>
  <c r="F502" i="3"/>
  <c r="F553" i="3" s="1"/>
  <c r="F610" i="3" s="1"/>
  <c r="X182" i="3"/>
  <c r="F501" i="3" s="1"/>
  <c r="F552" i="3" s="1"/>
  <c r="F609" i="3" s="1"/>
  <c r="K42" i="1" s="1"/>
  <c r="H498" i="3"/>
  <c r="H549" i="3" s="1"/>
  <c r="H606" i="3" s="1"/>
  <c r="M39" i="1" s="1"/>
  <c r="AL263" i="3" a="1"/>
  <c r="AL263" i="3" s="1"/>
  <c r="AL219" i="3"/>
  <c r="AK219" i="3"/>
  <c r="C263" i="3" a="1"/>
  <c r="C263" i="3" s="1"/>
  <c r="C219" i="3"/>
  <c r="B219" i="3"/>
  <c r="C498" i="3"/>
  <c r="C549" i="3" s="1"/>
  <c r="C606" i="3" s="1"/>
  <c r="H39" i="1" s="1"/>
  <c r="AS263" i="3" a="1"/>
  <c r="AS263" i="3" s="1"/>
  <c r="AR219" i="3"/>
  <c r="AS219" i="3"/>
  <c r="I498" i="3"/>
  <c r="I549" i="3" s="1"/>
  <c r="I606" i="3" s="1"/>
  <c r="N39" i="1" s="1"/>
  <c r="L502" i="3"/>
  <c r="L553" i="3" s="1"/>
  <c r="L610" i="3" s="1"/>
  <c r="BN182" i="3"/>
  <c r="L501" i="3" s="1"/>
  <c r="L552" i="3" s="1"/>
  <c r="L609" i="3" s="1"/>
  <c r="Q42" i="1" s="1"/>
  <c r="AZ263" i="3" a="1"/>
  <c r="AZ263" i="3" s="1"/>
  <c r="J498" i="3"/>
  <c r="J549" i="3" s="1"/>
  <c r="J606" i="3" s="1"/>
  <c r="O39" i="1" s="1"/>
  <c r="AY219" i="3"/>
  <c r="AZ219" i="3"/>
  <c r="X252" i="3"/>
  <c r="M35" i="1"/>
  <c r="H642" i="3"/>
  <c r="E502" i="3"/>
  <c r="E553" i="3" s="1"/>
  <c r="E610" i="3" s="1"/>
  <c r="Q182" i="3"/>
  <c r="E501" i="3" s="1"/>
  <c r="E552" i="3" s="1"/>
  <c r="E609" i="3" s="1"/>
  <c r="J42" i="1" s="1"/>
  <c r="AS252" i="3"/>
  <c r="BN252" i="3"/>
  <c r="P35" i="1"/>
  <c r="K642" i="3"/>
  <c r="H502" i="3"/>
  <c r="H553" i="3" s="1"/>
  <c r="H610" i="3" s="1"/>
  <c r="AL182" i="3"/>
  <c r="H501" i="3" s="1"/>
  <c r="H552" i="3" s="1"/>
  <c r="H609" i="3" s="1"/>
  <c r="M42" i="1" s="1"/>
  <c r="I35" i="1"/>
  <c r="D642" i="3"/>
  <c r="C252" i="3"/>
  <c r="C264" i="3" s="1" a="1"/>
  <c r="C264" i="3" s="1"/>
  <c r="BG219" i="3"/>
  <c r="K498" i="3"/>
  <c r="K549" i="3" s="1"/>
  <c r="K606" i="3" s="1"/>
  <c r="P39" i="1" s="1"/>
  <c r="BG263" i="3" a="1"/>
  <c r="BG263" i="3" s="1"/>
  <c r="BF219" i="3"/>
  <c r="I502" i="3"/>
  <c r="I553" i="3" s="1"/>
  <c r="I610" i="3" s="1"/>
  <c r="AS182" i="3"/>
  <c r="I501" i="3" s="1"/>
  <c r="I552" i="3" s="1"/>
  <c r="I609" i="3" s="1"/>
  <c r="N42" i="1" s="1"/>
  <c r="E434" i="3"/>
  <c r="E443" i="3" s="1"/>
  <c r="E444" i="3" s="1"/>
  <c r="E447" i="3" s="1"/>
  <c r="U433" i="3"/>
  <c r="U432" i="3"/>
  <c r="AV450" i="3" l="1"/>
  <c r="AV451" i="3" s="1"/>
  <c r="AV437" i="3"/>
  <c r="AP432" i="3"/>
  <c r="AP433" i="3"/>
  <c r="AV445" i="3"/>
  <c r="AV446" i="3" s="1"/>
  <c r="AV431" i="3"/>
  <c r="AV436" i="3"/>
  <c r="AV429" i="3"/>
  <c r="AE225" i="3"/>
  <c r="BG226" i="3"/>
  <c r="BG227" i="3" s="1" a="1"/>
  <c r="BG227" i="3" s="1"/>
  <c r="BG228" i="3" s="1"/>
  <c r="BG231" i="3" s="1"/>
  <c r="BG326" i="3" s="1"/>
  <c r="K497" i="3"/>
  <c r="K548" i="3" s="1"/>
  <c r="K605" i="3" s="1"/>
  <c r="K643" i="3" s="1"/>
  <c r="AE226" i="3"/>
  <c r="BG224" i="3"/>
  <c r="G497" i="3"/>
  <c r="G548" i="3" s="1"/>
  <c r="G605" i="3" s="1"/>
  <c r="G643" i="3" s="1"/>
  <c r="M433" i="3"/>
  <c r="M434" i="3" s="1"/>
  <c r="M443" i="3" s="1"/>
  <c r="M444" i="3" s="1"/>
  <c r="M447" i="3" s="1"/>
  <c r="AL224" i="3"/>
  <c r="M38" i="1"/>
  <c r="AL225" i="3"/>
  <c r="BU224" i="3"/>
  <c r="M497" i="3"/>
  <c r="M548" i="3" s="1"/>
  <c r="M605" i="3" s="1"/>
  <c r="M643" i="3" s="1"/>
  <c r="C497" i="3"/>
  <c r="C548" i="3" s="1"/>
  <c r="C605" i="3" s="1"/>
  <c r="C643" i="3" s="1"/>
  <c r="AL226" i="3"/>
  <c r="AS224" i="3"/>
  <c r="AS226" i="3"/>
  <c r="AS227" i="3" s="1" a="1"/>
  <c r="AS227" i="3" s="1"/>
  <c r="AS228" i="3" s="1"/>
  <c r="AS229" i="3" s="1"/>
  <c r="I497" i="3"/>
  <c r="I548" i="3" s="1"/>
  <c r="I605" i="3" s="1"/>
  <c r="I643" i="3" s="1"/>
  <c r="C224" i="3"/>
  <c r="BU225" i="3"/>
  <c r="BU227" i="3" s="1" a="1"/>
  <c r="BU227" i="3" s="1"/>
  <c r="BU228" i="3" s="1"/>
  <c r="BU231" i="3" s="1"/>
  <c r="C226" i="3"/>
  <c r="C227" i="3" s="1" a="1"/>
  <c r="C227" i="3" s="1"/>
  <c r="C228" i="3" s="1"/>
  <c r="C229" i="3" s="1"/>
  <c r="X225" i="3"/>
  <c r="X226" i="3"/>
  <c r="F497" i="3"/>
  <c r="F548" i="3" s="1"/>
  <c r="F605" i="3" s="1"/>
  <c r="F643" i="3" s="1"/>
  <c r="AZ226" i="3"/>
  <c r="AZ227" i="3" s="1" a="1"/>
  <c r="AZ227" i="3" s="1"/>
  <c r="AZ228" i="3" s="1"/>
  <c r="AZ224" i="3"/>
  <c r="J497" i="3"/>
  <c r="J548" i="3" s="1"/>
  <c r="J605" i="3" s="1"/>
  <c r="J643" i="3" s="1"/>
  <c r="J225" i="3"/>
  <c r="J227" i="3" s="1" a="1"/>
  <c r="J227" i="3" s="1"/>
  <c r="J228" i="3" s="1"/>
  <c r="L497" i="3"/>
  <c r="L548" i="3" s="1"/>
  <c r="L605" i="3" s="1"/>
  <c r="L643" i="3" s="1"/>
  <c r="BN225" i="3"/>
  <c r="BN227" i="3" s="1" a="1"/>
  <c r="BN227" i="3" s="1"/>
  <c r="BN228" i="3" s="1"/>
  <c r="BN231" i="3" s="1"/>
  <c r="J224" i="3"/>
  <c r="BN224" i="3"/>
  <c r="D497" i="3"/>
  <c r="D548" i="3" s="1"/>
  <c r="D605" i="3" s="1"/>
  <c r="D643" i="3" s="1"/>
  <c r="Q227" i="3" a="1"/>
  <c r="Q227" i="3" s="1"/>
  <c r="Q228" i="3" s="1"/>
  <c r="Q229" i="3" s="1"/>
  <c r="E118" i="2"/>
  <c r="D118" i="2"/>
  <c r="B227" i="2" a="1"/>
  <c r="A287" i="2" s="1"/>
  <c r="F585" i="3"/>
  <c r="G585" i="3"/>
  <c r="H585" i="3"/>
  <c r="H627" i="3" s="1"/>
  <c r="M60" i="1" s="1"/>
  <c r="I585" i="3"/>
  <c r="I627" i="3" s="1"/>
  <c r="N60" i="1" s="1"/>
  <c r="J585" i="3"/>
  <c r="J627" i="3" s="1"/>
  <c r="O60" i="1" s="1"/>
  <c r="K585" i="3"/>
  <c r="K627" i="3" s="1"/>
  <c r="P60" i="1" s="1"/>
  <c r="C585" i="3"/>
  <c r="C627" i="3" s="1"/>
  <c r="H60" i="1" s="1"/>
  <c r="L585" i="3"/>
  <c r="L627" i="3" s="1"/>
  <c r="Q60" i="1" s="1"/>
  <c r="E585" i="3"/>
  <c r="E627" i="3" s="1"/>
  <c r="J60" i="1" s="1"/>
  <c r="M585" i="3"/>
  <c r="M627" i="3" s="1"/>
  <c r="R60" i="1" s="1"/>
  <c r="D585" i="3"/>
  <c r="D627" i="3" s="1"/>
  <c r="I60" i="1" s="1"/>
  <c r="B482" i="3"/>
  <c r="C482" i="3" s="1"/>
  <c r="F627" i="3"/>
  <c r="K60" i="1" s="1"/>
  <c r="G627" i="3"/>
  <c r="L60" i="1" s="1"/>
  <c r="X365" i="3"/>
  <c r="C365" i="3"/>
  <c r="AE365" i="3"/>
  <c r="AS365" i="3"/>
  <c r="AZ365" i="3"/>
  <c r="BG365" i="3"/>
  <c r="J365" i="3"/>
  <c r="BN365" i="3"/>
  <c r="AL365" i="3"/>
  <c r="Q365" i="3"/>
  <c r="BU365" i="3"/>
  <c r="C120" i="2"/>
  <c r="K82" i="1" s="1"/>
  <c r="E120" i="2"/>
  <c r="C121" i="2"/>
  <c r="M82" i="1" s="1"/>
  <c r="E121" i="2"/>
  <c r="C119" i="2"/>
  <c r="I82" i="1" s="1"/>
  <c r="E119" i="2"/>
  <c r="D119" i="2"/>
  <c r="D120" i="2"/>
  <c r="D121" i="2"/>
  <c r="AC432" i="3"/>
  <c r="AC434" i="3" s="1"/>
  <c r="AI431" i="3"/>
  <c r="AI432" i="3" s="1"/>
  <c r="AI437" i="3"/>
  <c r="J267" i="3"/>
  <c r="J268" i="3" s="1"/>
  <c r="J270" i="3" s="1"/>
  <c r="J276" i="3"/>
  <c r="J277" i="3" s="1"/>
  <c r="J279" i="3" s="1"/>
  <c r="C267" i="3"/>
  <c r="C268" i="3" s="1"/>
  <c r="C270" i="3" s="1"/>
  <c r="C276" i="3"/>
  <c r="C277" i="3" s="1"/>
  <c r="C279" i="3" s="1"/>
  <c r="Q267" i="3"/>
  <c r="Q268" i="3" s="1"/>
  <c r="Q270" i="3" s="1"/>
  <c r="Q276" i="3"/>
  <c r="Q277" i="3" s="1"/>
  <c r="Q279" i="3" s="1"/>
  <c r="AS267" i="3"/>
  <c r="AS268" i="3" s="1"/>
  <c r="AS270" i="3" s="1"/>
  <c r="AS276" i="3"/>
  <c r="AS277" i="3" s="1"/>
  <c r="AS279" i="3" s="1"/>
  <c r="AZ267" i="3"/>
  <c r="AZ268" i="3" s="1"/>
  <c r="AZ270" i="3" s="1"/>
  <c r="AZ276" i="3"/>
  <c r="AZ277" i="3" s="1"/>
  <c r="AZ279" i="3" s="1"/>
  <c r="BU267" i="3"/>
  <c r="BU268" i="3" s="1"/>
  <c r="BU270" i="3" s="1"/>
  <c r="BU276" i="3"/>
  <c r="BU277" i="3" s="1"/>
  <c r="BU279" i="3" s="1"/>
  <c r="AL267" i="3"/>
  <c r="AL268" i="3" s="1"/>
  <c r="AL270" i="3" s="1"/>
  <c r="AL276" i="3"/>
  <c r="AL277" i="3" s="1"/>
  <c r="AL279" i="3" s="1"/>
  <c r="AE267" i="3"/>
  <c r="AE268" i="3" s="1"/>
  <c r="AE270" i="3" s="1"/>
  <c r="AE276" i="3"/>
  <c r="AE277" i="3" s="1"/>
  <c r="AE279" i="3" s="1"/>
  <c r="BG267" i="3"/>
  <c r="BG268" i="3" s="1"/>
  <c r="BG270" i="3" s="1"/>
  <c r="BG276" i="3"/>
  <c r="BG277" i="3" s="1"/>
  <c r="BG279" i="3" s="1"/>
  <c r="BN267" i="3"/>
  <c r="BN268" i="3" s="1"/>
  <c r="BN270" i="3" s="1"/>
  <c r="BN276" i="3"/>
  <c r="BN277" i="3" s="1"/>
  <c r="BN279" i="3" s="1"/>
  <c r="X267" i="3"/>
  <c r="X268" i="3" s="1"/>
  <c r="X270" i="3" s="1"/>
  <c r="X276" i="3"/>
  <c r="X277" i="3" s="1"/>
  <c r="X279" i="3" s="1"/>
  <c r="AE264" i="3" a="1"/>
  <c r="AE264" i="3" s="1"/>
  <c r="AE271" i="3" s="1"/>
  <c r="AF271" i="3" s="1"/>
  <c r="H43" i="1"/>
  <c r="C644" i="3"/>
  <c r="BU264" i="3" a="1"/>
  <c r="BU264" i="3" s="1"/>
  <c r="BU271" i="3" s="1"/>
  <c r="BV271" i="3" s="1"/>
  <c r="I43" i="1"/>
  <c r="D644" i="3"/>
  <c r="C271" i="3"/>
  <c r="D271" i="3" s="1"/>
  <c r="C280" i="3"/>
  <c r="D280" i="3" s="1"/>
  <c r="BN264" i="3" a="1"/>
  <c r="BN264" i="3" s="1"/>
  <c r="J43" i="1"/>
  <c r="E644" i="3"/>
  <c r="E645" i="3" s="1"/>
  <c r="E395" i="3" s="1"/>
  <c r="N43" i="1"/>
  <c r="I644" i="3"/>
  <c r="K43" i="1"/>
  <c r="F644" i="3"/>
  <c r="Q280" i="3"/>
  <c r="R280" i="3" s="1"/>
  <c r="Q271" i="3"/>
  <c r="R271" i="3" s="1"/>
  <c r="L43" i="1"/>
  <c r="G644" i="3"/>
  <c r="X264" i="3" a="1"/>
  <c r="X264" i="3" s="1"/>
  <c r="Q43" i="1"/>
  <c r="L644" i="3"/>
  <c r="AL264" i="3" a="1"/>
  <c r="AL264" i="3" s="1"/>
  <c r="R43" i="1"/>
  <c r="M644" i="3"/>
  <c r="AZ264" i="3" a="1"/>
  <c r="AZ264" i="3" s="1"/>
  <c r="M43" i="1"/>
  <c r="H644" i="3"/>
  <c r="H645" i="3" s="1"/>
  <c r="H395" i="3" s="1"/>
  <c r="AS264" i="3" a="1"/>
  <c r="AS264" i="3" s="1"/>
  <c r="J264" i="3" a="1"/>
  <c r="J264" i="3" s="1"/>
  <c r="BG264" i="3" a="1"/>
  <c r="BG264" i="3" s="1"/>
  <c r="P43" i="1"/>
  <c r="K644" i="3"/>
  <c r="O43" i="1"/>
  <c r="J644" i="3"/>
  <c r="E435" i="3"/>
  <c r="E448" i="3" s="1"/>
  <c r="E449" i="3" s="1"/>
  <c r="E452" i="3" s="1"/>
  <c r="U434" i="3"/>
  <c r="U443" i="3" s="1"/>
  <c r="U444" i="3" s="1"/>
  <c r="U447" i="3" s="1"/>
  <c r="AP434" i="3" l="1"/>
  <c r="AV432" i="3"/>
  <c r="AV433" i="3"/>
  <c r="BG232" i="3"/>
  <c r="BG229" i="3"/>
  <c r="L38" i="1"/>
  <c r="AE227" i="3" a="1"/>
  <c r="AE227" i="3" s="1"/>
  <c r="AE228" i="3" s="1"/>
  <c r="AE231" i="3" s="1"/>
  <c r="AE326" i="3" s="1"/>
  <c r="G517" i="3" s="1"/>
  <c r="G568" i="3" s="1"/>
  <c r="M435" i="3"/>
  <c r="M448" i="3" s="1"/>
  <c r="M449" i="3" s="1"/>
  <c r="M452" i="3" s="1"/>
  <c r="P38" i="1"/>
  <c r="AL227" i="3" a="1"/>
  <c r="AL227" i="3" s="1"/>
  <c r="AL228" i="3" s="1"/>
  <c r="AL229" i="3" s="1"/>
  <c r="I645" i="3"/>
  <c r="I395" i="3" s="1"/>
  <c r="R38" i="1"/>
  <c r="M645" i="3"/>
  <c r="M395" i="3" s="1"/>
  <c r="M397" i="3" s="1"/>
  <c r="H38" i="1"/>
  <c r="N38" i="1"/>
  <c r="AS231" i="3"/>
  <c r="AS232" i="3" s="1"/>
  <c r="BU229" i="3"/>
  <c r="X227" i="3" a="1"/>
  <c r="X227" i="3" s="1"/>
  <c r="X228" i="3" s="1"/>
  <c r="X231" i="3" s="1"/>
  <c r="X232" i="3" s="1"/>
  <c r="K38" i="1"/>
  <c r="O38" i="1"/>
  <c r="Q38" i="1"/>
  <c r="L645" i="3"/>
  <c r="L395" i="3" s="1"/>
  <c r="B6" i="2"/>
  <c r="C6" i="2" s="1"/>
  <c r="J231" i="3"/>
  <c r="J229" i="3"/>
  <c r="AZ231" i="3"/>
  <c r="AZ229" i="3"/>
  <c r="D645" i="3"/>
  <c r="D395" i="3" s="1"/>
  <c r="I38" i="1"/>
  <c r="BN229" i="3"/>
  <c r="Q231" i="3"/>
  <c r="Q232" i="3" s="1"/>
  <c r="A285" i="2"/>
  <c r="A286" i="2"/>
  <c r="B227" i="2"/>
  <c r="B483" i="3"/>
  <c r="C483" i="3"/>
  <c r="G127" i="2" s="1"/>
  <c r="B122" i="2" a="1"/>
  <c r="G330" i="2" s="1"/>
  <c r="AI433" i="3"/>
  <c r="AI434" i="3" s="1"/>
  <c r="AI443" i="3" s="1"/>
  <c r="AI444" i="3" s="1"/>
  <c r="AI447" i="3" s="1"/>
  <c r="AC443" i="3"/>
  <c r="AC444" i="3" s="1"/>
  <c r="AC447" i="3" s="1"/>
  <c r="AC435" i="3"/>
  <c r="AC448" i="3" s="1"/>
  <c r="AC449" i="3" s="1"/>
  <c r="AC452" i="3" s="1"/>
  <c r="F645" i="3"/>
  <c r="F395" i="3" s="1"/>
  <c r="C645" i="3"/>
  <c r="C395" i="3" s="1"/>
  <c r="E438" i="3"/>
  <c r="E453" i="3"/>
  <c r="K645" i="3"/>
  <c r="K395" i="3" s="1"/>
  <c r="E455" i="3"/>
  <c r="AE280" i="3"/>
  <c r="AF280" i="3" s="1"/>
  <c r="BU280" i="3"/>
  <c r="BV280" i="3" s="1"/>
  <c r="G645" i="3"/>
  <c r="G395" i="3" s="1"/>
  <c r="D279" i="3"/>
  <c r="C281" i="3"/>
  <c r="C282" i="3" s="1"/>
  <c r="C506" i="3" s="1"/>
  <c r="Y270" i="3"/>
  <c r="Q272" i="3"/>
  <c r="Q273" i="3" s="1"/>
  <c r="E505" i="3" s="1"/>
  <c r="R270" i="3"/>
  <c r="AM279" i="3"/>
  <c r="Y279" i="3"/>
  <c r="AF279" i="3"/>
  <c r="AM270" i="3"/>
  <c r="K279" i="3"/>
  <c r="AE272" i="3"/>
  <c r="AE273" i="3" s="1"/>
  <c r="G505" i="3" s="1"/>
  <c r="AF270" i="3"/>
  <c r="BV279" i="3"/>
  <c r="AZ271" i="3"/>
  <c r="BA271" i="3" s="1"/>
  <c r="AZ280" i="3"/>
  <c r="BA280" i="3" s="1"/>
  <c r="X271" i="3"/>
  <c r="Y271" i="3" s="1"/>
  <c r="X280" i="3"/>
  <c r="Y280" i="3" s="1"/>
  <c r="K270" i="3"/>
  <c r="BN271" i="3"/>
  <c r="BO271" i="3" s="1"/>
  <c r="BN280" i="3"/>
  <c r="BO280" i="3" s="1"/>
  <c r="BU272" i="3"/>
  <c r="BU273" i="3" s="1"/>
  <c r="M505" i="3" s="1"/>
  <c r="BV270" i="3"/>
  <c r="BG280" i="3"/>
  <c r="BH280" i="3" s="1"/>
  <c r="BG271" i="3"/>
  <c r="BH271" i="3" s="1"/>
  <c r="BH279" i="3"/>
  <c r="BO270" i="3"/>
  <c r="AT279" i="3"/>
  <c r="J280" i="3"/>
  <c r="K280" i="3" s="1"/>
  <c r="J271" i="3"/>
  <c r="K271" i="3" s="1"/>
  <c r="BH270" i="3"/>
  <c r="BO279" i="3"/>
  <c r="BA279" i="3"/>
  <c r="AT270" i="3"/>
  <c r="AS271" i="3"/>
  <c r="AT271" i="3" s="1"/>
  <c r="AS280" i="3"/>
  <c r="AT280" i="3" s="1"/>
  <c r="AL280" i="3"/>
  <c r="AM280" i="3" s="1"/>
  <c r="AL271" i="3"/>
  <c r="AM271" i="3" s="1"/>
  <c r="BA270" i="3"/>
  <c r="J645" i="3"/>
  <c r="J395" i="3" s="1"/>
  <c r="D270" i="3"/>
  <c r="C272" i="3"/>
  <c r="C273" i="3" s="1"/>
  <c r="C505" i="3" s="1"/>
  <c r="Q281" i="3"/>
  <c r="Q282" i="3" s="1"/>
  <c r="E506" i="3" s="1"/>
  <c r="R279" i="3"/>
  <c r="U435" i="3"/>
  <c r="U448" i="3" s="1"/>
  <c r="U449" i="3" s="1"/>
  <c r="U452" i="3" s="1"/>
  <c r="U453" i="3" s="1"/>
  <c r="C231" i="3"/>
  <c r="C326" i="3" s="1"/>
  <c r="BG327" i="3"/>
  <c r="K517" i="3"/>
  <c r="K568" i="3" s="1"/>
  <c r="BU232" i="3"/>
  <c r="BU326" i="3"/>
  <c r="BN232" i="3"/>
  <c r="BN326" i="3"/>
  <c r="AC438" i="3" l="1"/>
  <c r="AC440" i="3" s="1"/>
  <c r="C359" i="3" s="1"/>
  <c r="M455" i="3"/>
  <c r="M438" i="3"/>
  <c r="BU333" i="3" s="1"/>
  <c r="BU334" i="3" s="1"/>
  <c r="BU335" i="3" s="1"/>
  <c r="M453" i="3"/>
  <c r="Q323" i="3"/>
  <c r="Q324" i="3" s="1"/>
  <c r="E515" i="3" s="1"/>
  <c r="E566" i="3" s="1"/>
  <c r="E440" i="3"/>
  <c r="AV434" i="3"/>
  <c r="AP435" i="3"/>
  <c r="AP448" i="3" s="1"/>
  <c r="AP449" i="3" s="1"/>
  <c r="AP452" i="3" s="1"/>
  <c r="AP443" i="3"/>
  <c r="AP444" i="3" s="1"/>
  <c r="AP447" i="3" s="1"/>
  <c r="AE327" i="3"/>
  <c r="G518" i="3" s="1"/>
  <c r="G569" i="3" s="1"/>
  <c r="AE232" i="3"/>
  <c r="AL231" i="3"/>
  <c r="AL326" i="3" s="1"/>
  <c r="AL327" i="3" s="1"/>
  <c r="AE229" i="3"/>
  <c r="M396" i="3"/>
  <c r="AS326" i="3"/>
  <c r="AS327" i="3" s="1"/>
  <c r="X229" i="3"/>
  <c r="X326" i="3"/>
  <c r="F517" i="3" s="1"/>
  <c r="F568" i="3" s="1"/>
  <c r="AZ232" i="3"/>
  <c r="AZ326" i="3"/>
  <c r="Q326" i="3"/>
  <c r="E517" i="3" s="1"/>
  <c r="E568" i="3" s="1"/>
  <c r="J326" i="3"/>
  <c r="J232" i="3"/>
  <c r="B332" i="2"/>
  <c r="F330" i="2"/>
  <c r="K518" i="3"/>
  <c r="K569" i="3" s="1"/>
  <c r="B122" i="2"/>
  <c r="G126" i="2" s="1"/>
  <c r="E219" i="2"/>
  <c r="B12" i="2"/>
  <c r="AI435" i="3"/>
  <c r="AI448" i="3" s="1"/>
  <c r="AI449" i="3" s="1"/>
  <c r="AI452" i="3" s="1"/>
  <c r="AI453" i="3" s="1"/>
  <c r="C232" i="3"/>
  <c r="AC455" i="3"/>
  <c r="AC453" i="3"/>
  <c r="AD453" i="3" s="1"/>
  <c r="E456" i="3"/>
  <c r="B326" i="2"/>
  <c r="C326" i="2" s="1"/>
  <c r="B10" i="7"/>
  <c r="AZ323" i="3"/>
  <c r="AZ324" i="3" s="1"/>
  <c r="AE323" i="3"/>
  <c r="AE324" i="3" s="1"/>
  <c r="BU323" i="3"/>
  <c r="BU324" i="3" s="1"/>
  <c r="AS323" i="3"/>
  <c r="AS324" i="3" s="1"/>
  <c r="C323" i="3"/>
  <c r="BN323" i="3"/>
  <c r="BN324" i="3" s="1"/>
  <c r="AZ272" i="3"/>
  <c r="AZ273" i="3" s="1"/>
  <c r="J505" i="3" s="1"/>
  <c r="AL323" i="3"/>
  <c r="AL324" i="3" s="1"/>
  <c r="X323" i="3"/>
  <c r="X324" i="3" s="1"/>
  <c r="J323" i="3"/>
  <c r="J324" i="3" s="1"/>
  <c r="BG323" i="3"/>
  <c r="BG324" i="3" s="1"/>
  <c r="BU281" i="3"/>
  <c r="BU282" i="3" s="1"/>
  <c r="M506" i="3" s="1"/>
  <c r="M556" i="3" s="1"/>
  <c r="M613" i="3" s="1"/>
  <c r="M393" i="3" s="1"/>
  <c r="BG272" i="3"/>
  <c r="BG273" i="3" s="1"/>
  <c r="K505" i="3" s="1"/>
  <c r="BG281" i="3"/>
  <c r="BG282" i="3" s="1"/>
  <c r="K506" i="3" s="1"/>
  <c r="BN281" i="3"/>
  <c r="BN282" i="3" s="1"/>
  <c r="L506" i="3" s="1"/>
  <c r="AZ281" i="3"/>
  <c r="AZ282" i="3" s="1"/>
  <c r="J506" i="3" s="1"/>
  <c r="BN272" i="3"/>
  <c r="BN273" i="3" s="1"/>
  <c r="L505" i="3" s="1"/>
  <c r="N453" i="3"/>
  <c r="AS333" i="3"/>
  <c r="AS334" i="3" s="1"/>
  <c r="AS335" i="3" s="1"/>
  <c r="AE281" i="3"/>
  <c r="AE282" i="3" s="1"/>
  <c r="G506" i="3" s="1"/>
  <c r="G556" i="3" s="1"/>
  <c r="G613" i="3" s="1"/>
  <c r="G393" i="3" s="1"/>
  <c r="G396" i="3" s="1"/>
  <c r="U455" i="3"/>
  <c r="C556" i="3"/>
  <c r="C613" i="3" s="1"/>
  <c r="H46" i="1" s="1"/>
  <c r="C646" i="3"/>
  <c r="AS272" i="3"/>
  <c r="AS273" i="3" s="1"/>
  <c r="I505" i="3" s="1"/>
  <c r="AL272" i="3"/>
  <c r="AL273" i="3" s="1"/>
  <c r="H505" i="3" s="1"/>
  <c r="X272" i="3"/>
  <c r="X273" i="3" s="1"/>
  <c r="F505" i="3" s="1"/>
  <c r="X281" i="3"/>
  <c r="X282" i="3" s="1"/>
  <c r="F506" i="3" s="1"/>
  <c r="J272" i="3"/>
  <c r="J273" i="3" s="1"/>
  <c r="D505" i="3" s="1"/>
  <c r="AL281" i="3"/>
  <c r="AL282" i="3" s="1"/>
  <c r="H506" i="3" s="1"/>
  <c r="J281" i="3"/>
  <c r="J282" i="3" s="1"/>
  <c r="D506" i="3" s="1"/>
  <c r="N645" i="3"/>
  <c r="AS281" i="3"/>
  <c r="AS282" i="3" s="1"/>
  <c r="I506" i="3" s="1"/>
  <c r="E556" i="3"/>
  <c r="E613" i="3" s="1"/>
  <c r="U438" i="3"/>
  <c r="BN343" i="3" s="1"/>
  <c r="BN344" i="3" s="1"/>
  <c r="BN345" i="3" s="1"/>
  <c r="AE333" i="3"/>
  <c r="AE334" i="3" s="1"/>
  <c r="AE335" i="3" s="1"/>
  <c r="AL333" i="3"/>
  <c r="AL334" i="3" s="1"/>
  <c r="AL335" i="3" s="1"/>
  <c r="BG333" i="3"/>
  <c r="BG334" i="3" s="1"/>
  <c r="BG335" i="3" s="1"/>
  <c r="Q333" i="3"/>
  <c r="Q334" i="3" s="1"/>
  <c r="Q335" i="3" s="1"/>
  <c r="C333" i="3"/>
  <c r="C334" i="3" s="1"/>
  <c r="X333" i="3"/>
  <c r="X334" i="3" s="1"/>
  <c r="X335" i="3" s="1"/>
  <c r="AZ333" i="3"/>
  <c r="AZ334" i="3" s="1"/>
  <c r="AZ335" i="3" s="1"/>
  <c r="M440" i="3"/>
  <c r="BG336" i="3" s="1"/>
  <c r="BN333" i="3"/>
  <c r="BN334" i="3" s="1"/>
  <c r="BN335" i="3" s="1"/>
  <c r="J333" i="3"/>
  <c r="J334" i="3" s="1"/>
  <c r="M456" i="3"/>
  <c r="V453" i="3"/>
  <c r="U456" i="3"/>
  <c r="BN327" i="3"/>
  <c r="L517" i="3"/>
  <c r="L568" i="3" s="1"/>
  <c r="BU327" i="3"/>
  <c r="M517" i="3"/>
  <c r="M568" i="3" s="1"/>
  <c r="C355" i="3" l="1"/>
  <c r="C378" i="3" s="1"/>
  <c r="C356" i="3"/>
  <c r="C357" i="3" s="1"/>
  <c r="C358" i="3" s="1"/>
  <c r="Q325" i="3"/>
  <c r="E516" i="3" s="1"/>
  <c r="E567" i="3" s="1"/>
  <c r="AP438" i="3"/>
  <c r="AP440" i="3" s="1"/>
  <c r="AP455" i="3"/>
  <c r="AP453" i="3"/>
  <c r="AV435" i="3"/>
  <c r="AV448" i="3" s="1"/>
  <c r="AV449" i="3" s="1"/>
  <c r="AV452" i="3" s="1"/>
  <c r="AV443" i="3"/>
  <c r="AV444" i="3" s="1"/>
  <c r="AV447" i="3" s="1"/>
  <c r="H517" i="3"/>
  <c r="H568" i="3" s="1"/>
  <c r="AL232" i="3"/>
  <c r="I517" i="3"/>
  <c r="I568" i="3" s="1"/>
  <c r="X327" i="3"/>
  <c r="F518" i="3" s="1"/>
  <c r="F569" i="3" s="1"/>
  <c r="Q327" i="3"/>
  <c r="E518" i="3" s="1"/>
  <c r="E569" i="3" s="1"/>
  <c r="J327" i="3"/>
  <c r="D518" i="3" s="1"/>
  <c r="D569" i="3" s="1"/>
  <c r="D517" i="3"/>
  <c r="D568" i="3" s="1"/>
  <c r="J517" i="3"/>
  <c r="J568" i="3" s="1"/>
  <c r="AZ327" i="3"/>
  <c r="J518" i="3" s="1"/>
  <c r="J569" i="3" s="1"/>
  <c r="C336" i="3"/>
  <c r="B134" i="2"/>
  <c r="B135" i="2" s="1" a="1"/>
  <c r="B135" i="2" s="1"/>
  <c r="B146" i="2" s="1"/>
  <c r="F146" i="2" s="1"/>
  <c r="J335" i="3"/>
  <c r="D521" i="3" s="1"/>
  <c r="D572" i="3" s="1"/>
  <c r="D520" i="3"/>
  <c r="BN325" i="3"/>
  <c r="L516" i="3" s="1"/>
  <c r="L567" i="3" s="1"/>
  <c r="L515" i="3"/>
  <c r="L566" i="3" s="1"/>
  <c r="C324" i="3"/>
  <c r="C515" i="3" s="1"/>
  <c r="C566" i="3" s="1"/>
  <c r="AS325" i="3"/>
  <c r="I516" i="3" s="1"/>
  <c r="I567" i="3" s="1"/>
  <c r="I515" i="3"/>
  <c r="I566" i="3" s="1"/>
  <c r="J520" i="3"/>
  <c r="BG325" i="3"/>
  <c r="K516" i="3" s="1"/>
  <c r="K567" i="3" s="1"/>
  <c r="K515" i="3"/>
  <c r="K566" i="3" s="1"/>
  <c r="G520" i="3"/>
  <c r="G571" i="3" s="1"/>
  <c r="C335" i="3"/>
  <c r="C520" i="3"/>
  <c r="D515" i="3"/>
  <c r="D566" i="3" s="1"/>
  <c r="J325" i="3"/>
  <c r="D516" i="3" s="1"/>
  <c r="D567" i="3" s="1"/>
  <c r="BU325" i="3"/>
  <c r="M516" i="3" s="1"/>
  <c r="M567" i="3" s="1"/>
  <c r="M515" i="3"/>
  <c r="K520" i="3"/>
  <c r="K571" i="3" s="1"/>
  <c r="F515" i="3"/>
  <c r="F566" i="3" s="1"/>
  <c r="X325" i="3"/>
  <c r="F516" i="3" s="1"/>
  <c r="F567" i="3" s="1"/>
  <c r="AE325" i="3"/>
  <c r="G516" i="3" s="1"/>
  <c r="G567" i="3" s="1"/>
  <c r="G515" i="3"/>
  <c r="G566" i="3" s="1"/>
  <c r="H515" i="3"/>
  <c r="AL325" i="3"/>
  <c r="H516" i="3" s="1"/>
  <c r="H567" i="3" s="1"/>
  <c r="AZ325" i="3"/>
  <c r="J516" i="3" s="1"/>
  <c r="J567" i="3" s="1"/>
  <c r="J515" i="3"/>
  <c r="J566" i="3" s="1"/>
  <c r="E521" i="3"/>
  <c r="E572" i="3" s="1"/>
  <c r="E520" i="3"/>
  <c r="M520" i="3"/>
  <c r="L521" i="3"/>
  <c r="L572" i="3" s="1"/>
  <c r="L520" i="3"/>
  <c r="I520" i="3"/>
  <c r="I571" i="3" s="1"/>
  <c r="H521" i="3"/>
  <c r="H572" i="3" s="1"/>
  <c r="H520" i="3"/>
  <c r="F520" i="3"/>
  <c r="F571" i="3" s="1"/>
  <c r="BU359" i="3"/>
  <c r="BU360" i="3" s="1"/>
  <c r="AL355" i="3"/>
  <c r="AL356" i="3" s="1"/>
  <c r="AL357" i="3" s="1"/>
  <c r="AL358" i="3" s="1"/>
  <c r="AS355" i="3"/>
  <c r="AS356" i="3" s="1"/>
  <c r="AS357" i="3" s="1"/>
  <c r="AS358" i="3" s="1"/>
  <c r="Q355" i="3"/>
  <c r="Q356" i="3" s="1"/>
  <c r="Q357" i="3" s="1"/>
  <c r="Q358" i="3" s="1"/>
  <c r="AZ355" i="3"/>
  <c r="AZ356" i="3" s="1"/>
  <c r="AZ357" i="3" s="1"/>
  <c r="AZ358" i="3" s="1"/>
  <c r="BU355" i="3"/>
  <c r="BU356" i="3" s="1"/>
  <c r="BU357" i="3" s="1"/>
  <c r="BU358" i="3" s="1"/>
  <c r="BG355" i="3"/>
  <c r="BG356" i="3" s="1"/>
  <c r="BG357" i="3" s="1"/>
  <c r="BG358" i="3" s="1"/>
  <c r="J355" i="3"/>
  <c r="J356" i="3" s="1"/>
  <c r="J357" i="3" s="1"/>
  <c r="J358" i="3" s="1"/>
  <c r="BN355" i="3"/>
  <c r="BN356" i="3" s="1"/>
  <c r="BN357" i="3" s="1"/>
  <c r="BN358" i="3" s="1"/>
  <c r="X355" i="3"/>
  <c r="X356" i="3" s="1"/>
  <c r="X357" i="3" s="1"/>
  <c r="X358" i="3" s="1"/>
  <c r="AE355" i="3"/>
  <c r="AE356" i="3" s="1"/>
  <c r="AE357" i="3" s="1"/>
  <c r="AE358" i="3" s="1"/>
  <c r="I518" i="3"/>
  <c r="I569" i="3" s="1"/>
  <c r="H518" i="3"/>
  <c r="H569" i="3" s="1"/>
  <c r="L518" i="3"/>
  <c r="L569" i="3" s="1"/>
  <c r="M518" i="3"/>
  <c r="M569" i="3" s="1"/>
  <c r="J521" i="3"/>
  <c r="J572" i="3" s="1"/>
  <c r="A288" i="2"/>
  <c r="B319" i="2"/>
  <c r="C674" i="3"/>
  <c r="C670" i="3" s="1"/>
  <c r="E670" i="3" s="1"/>
  <c r="N456" i="3"/>
  <c r="AI438" i="3"/>
  <c r="AI440" i="3" s="1"/>
  <c r="AI455" i="3"/>
  <c r="AI456" i="3"/>
  <c r="AJ456" i="3" s="1"/>
  <c r="AJ453" i="3"/>
  <c r="V456" i="3"/>
  <c r="AC456" i="3"/>
  <c r="AD456" i="3" s="1"/>
  <c r="J556" i="3"/>
  <c r="J613" i="3" s="1"/>
  <c r="O46" i="1" s="1"/>
  <c r="K556" i="3"/>
  <c r="K613" i="3" s="1"/>
  <c r="K393" i="3" s="1"/>
  <c r="K396" i="3" s="1"/>
  <c r="L556" i="3"/>
  <c r="L613" i="3" s="1"/>
  <c r="L393" i="3" s="1"/>
  <c r="L396" i="3" s="1"/>
  <c r="X343" i="3"/>
  <c r="X344" i="3" s="1"/>
  <c r="X345" i="3" s="1"/>
  <c r="U440" i="3"/>
  <c r="BU346" i="3" s="1"/>
  <c r="M527" i="3" s="1"/>
  <c r="M578" i="3" s="1"/>
  <c r="M635" i="3" s="1"/>
  <c r="C393" i="3"/>
  <c r="C396" i="3" s="1"/>
  <c r="K521" i="3"/>
  <c r="K572" i="3" s="1"/>
  <c r="AL336" i="3"/>
  <c r="AL337" i="3" s="1"/>
  <c r="J336" i="3"/>
  <c r="D522" i="3" s="1"/>
  <c r="D573" i="3" s="1"/>
  <c r="BU343" i="3"/>
  <c r="BU344" i="3" s="1"/>
  <c r="BU345" i="3" s="1"/>
  <c r="J343" i="3"/>
  <c r="J344" i="3" s="1"/>
  <c r="J345" i="3" s="1"/>
  <c r="Q343" i="3"/>
  <c r="Q344" i="3" s="1"/>
  <c r="Q345" i="3" s="1"/>
  <c r="AE343" i="3"/>
  <c r="AE344" i="3" s="1"/>
  <c r="AE345" i="3" s="1"/>
  <c r="AL343" i="3"/>
  <c r="AL344" i="3" s="1"/>
  <c r="AL345" i="3" s="1"/>
  <c r="C343" i="3"/>
  <c r="BG343" i="3"/>
  <c r="BG344" i="3" s="1"/>
  <c r="BG345" i="3" s="1"/>
  <c r="AZ343" i="3"/>
  <c r="AZ344" i="3" s="1"/>
  <c r="AZ345" i="3" s="1"/>
  <c r="AS343" i="3"/>
  <c r="AS344" i="3" s="1"/>
  <c r="AS345" i="3" s="1"/>
  <c r="R46" i="1"/>
  <c r="G521" i="3"/>
  <c r="G572" i="3" s="1"/>
  <c r="L46" i="1"/>
  <c r="I556" i="3"/>
  <c r="I613" i="3" s="1"/>
  <c r="I393" i="3" s="1"/>
  <c r="I396" i="3" s="1"/>
  <c r="H556" i="3"/>
  <c r="H613" i="3" s="1"/>
  <c r="H393" i="3" s="1"/>
  <c r="H396" i="3" s="1"/>
  <c r="F556" i="3"/>
  <c r="F613" i="3" s="1"/>
  <c r="D556" i="3"/>
  <c r="D613" i="3" s="1"/>
  <c r="E393" i="3"/>
  <c r="E396" i="3" s="1"/>
  <c r="J46" i="1"/>
  <c r="BU336" i="3"/>
  <c r="BU337" i="3" s="1"/>
  <c r="AS336" i="3"/>
  <c r="AS337" i="3" s="1"/>
  <c r="X336" i="3"/>
  <c r="X337" i="3" s="1"/>
  <c r="BN336" i="3"/>
  <c r="BN337" i="3" s="1"/>
  <c r="AZ336" i="3"/>
  <c r="J522" i="3" s="1"/>
  <c r="J573" i="3" s="1"/>
  <c r="AE336" i="3"/>
  <c r="G522" i="3" s="1"/>
  <c r="G573" i="3" s="1"/>
  <c r="Q336" i="3"/>
  <c r="E522" i="3" s="1"/>
  <c r="E573" i="3" s="1"/>
  <c r="C517" i="3"/>
  <c r="C568" i="3" s="1"/>
  <c r="C327" i="3"/>
  <c r="K522" i="3"/>
  <c r="K573" i="3" s="1"/>
  <c r="BG337" i="3"/>
  <c r="C380" i="3" l="1"/>
  <c r="C381" i="3" s="1"/>
  <c r="C361" i="3" s="1"/>
  <c r="C379" i="3"/>
  <c r="AV453" i="3"/>
  <c r="AW453" i="3" s="1"/>
  <c r="C344" i="3"/>
  <c r="C525" i="3" s="1"/>
  <c r="AV455" i="3"/>
  <c r="AV438" i="3"/>
  <c r="AV440" i="3" s="1"/>
  <c r="AQ453" i="3"/>
  <c r="AP456" i="3"/>
  <c r="AQ456" i="3" s="1"/>
  <c r="C530" i="3"/>
  <c r="C360" i="3"/>
  <c r="AZ359" i="3"/>
  <c r="AZ360" i="3" s="1"/>
  <c r="C325" i="3"/>
  <c r="C516" i="3" s="1"/>
  <c r="C567" i="3" s="1"/>
  <c r="BN359" i="3"/>
  <c r="BN360" i="3" s="1"/>
  <c r="AE359" i="3"/>
  <c r="AE360" i="3" s="1"/>
  <c r="AL359" i="3"/>
  <c r="AL360" i="3" s="1"/>
  <c r="Q359" i="3"/>
  <c r="Q360" i="3" s="1"/>
  <c r="L525" i="3"/>
  <c r="K525" i="3"/>
  <c r="K576" i="3" s="1"/>
  <c r="K633" i="3" s="1"/>
  <c r="M526" i="3"/>
  <c r="M577" i="3" s="1"/>
  <c r="M634" i="3" s="1"/>
  <c r="M525" i="3"/>
  <c r="H525" i="3"/>
  <c r="H576" i="3" s="1"/>
  <c r="F525" i="3"/>
  <c r="F576" i="3" s="1"/>
  <c r="F633" i="3" s="1"/>
  <c r="I525" i="3"/>
  <c r="I576" i="3" s="1"/>
  <c r="I633" i="3" s="1"/>
  <c r="BG359" i="3"/>
  <c r="BG360" i="3" s="1"/>
  <c r="J359" i="3"/>
  <c r="J360" i="3" s="1"/>
  <c r="AS359" i="3"/>
  <c r="AS360" i="3" s="1"/>
  <c r="X359" i="3"/>
  <c r="X360" i="3" s="1"/>
  <c r="M571" i="3"/>
  <c r="M521" i="3"/>
  <c r="M572" i="3" s="1"/>
  <c r="L523" i="3"/>
  <c r="L574" i="3" s="1"/>
  <c r="K523" i="3"/>
  <c r="K574" i="3" s="1"/>
  <c r="F523" i="3"/>
  <c r="F574" i="3" s="1"/>
  <c r="H523" i="3"/>
  <c r="H574" i="3" s="1"/>
  <c r="I523" i="3"/>
  <c r="I574" i="3" s="1"/>
  <c r="M523" i="3"/>
  <c r="M574" i="3" s="1"/>
  <c r="C518" i="3"/>
  <c r="C569" i="3" s="1"/>
  <c r="J571" i="3"/>
  <c r="E571" i="3"/>
  <c r="D571" i="3"/>
  <c r="L571" i="3"/>
  <c r="H571" i="3"/>
  <c r="I521" i="3"/>
  <c r="I572" i="3" s="1"/>
  <c r="F521" i="3"/>
  <c r="F572" i="3" s="1"/>
  <c r="M566" i="3"/>
  <c r="H566" i="3"/>
  <c r="B149" i="2"/>
  <c r="C149" i="2" s="1"/>
  <c r="B148" i="2"/>
  <c r="D148" i="2" s="1"/>
  <c r="B147" i="2"/>
  <c r="C147" i="2" s="1"/>
  <c r="C672" i="3"/>
  <c r="E672" i="3" s="1"/>
  <c r="C671" i="3"/>
  <c r="E671" i="3" s="1"/>
  <c r="E146" i="2"/>
  <c r="G83" i="1" s="1"/>
  <c r="D146" i="2"/>
  <c r="C146" i="2"/>
  <c r="AZ368" i="3"/>
  <c r="AZ369" i="3" s="1"/>
  <c r="AZ370" i="3" s="1"/>
  <c r="AZ371" i="3" s="1"/>
  <c r="BG368" i="3"/>
  <c r="BG369" i="3" s="1"/>
  <c r="BG370" i="3" s="1"/>
  <c r="BG371" i="3" s="1"/>
  <c r="J368" i="3"/>
  <c r="J369" i="3" s="1"/>
  <c r="J370" i="3" s="1"/>
  <c r="J371" i="3" s="1"/>
  <c r="BN368" i="3"/>
  <c r="BN369" i="3" s="1"/>
  <c r="BN370" i="3" s="1"/>
  <c r="BN371" i="3" s="1"/>
  <c r="Q368" i="3"/>
  <c r="Q369" i="3" s="1"/>
  <c r="Q370" i="3" s="1"/>
  <c r="Q371" i="3" s="1"/>
  <c r="BU368" i="3"/>
  <c r="BU369" i="3" s="1"/>
  <c r="BU370" i="3" s="1"/>
  <c r="BU371" i="3" s="1"/>
  <c r="X368" i="3"/>
  <c r="X369" i="3" s="1"/>
  <c r="X370" i="3" s="1"/>
  <c r="X371" i="3" s="1"/>
  <c r="C368" i="3"/>
  <c r="AE368" i="3"/>
  <c r="AE369" i="3" s="1"/>
  <c r="AE370" i="3" s="1"/>
  <c r="AE371" i="3" s="1"/>
  <c r="AL368" i="3"/>
  <c r="AL369" i="3" s="1"/>
  <c r="AL370" i="3" s="1"/>
  <c r="AL371" i="3" s="1"/>
  <c r="AS368" i="3"/>
  <c r="AS369" i="3" s="1"/>
  <c r="AS370" i="3" s="1"/>
  <c r="AS371" i="3" s="1"/>
  <c r="C337" i="3"/>
  <c r="J393" i="3"/>
  <c r="J396" i="3" s="1"/>
  <c r="Q346" i="3"/>
  <c r="E527" i="3" s="1"/>
  <c r="E578" i="3" s="1"/>
  <c r="E635" i="3" s="1"/>
  <c r="P46" i="1"/>
  <c r="Q46" i="1"/>
  <c r="AE346" i="3"/>
  <c r="G527" i="3" s="1"/>
  <c r="G578" i="3" s="1"/>
  <c r="G635" i="3" s="1"/>
  <c r="X346" i="3"/>
  <c r="X347" i="3" s="1"/>
  <c r="AL346" i="3"/>
  <c r="H527" i="3" s="1"/>
  <c r="H578" i="3" s="1"/>
  <c r="H635" i="3" s="1"/>
  <c r="AS346" i="3"/>
  <c r="AS347" i="3" s="1"/>
  <c r="C346" i="3"/>
  <c r="C347" i="3" s="1"/>
  <c r="BN346" i="3"/>
  <c r="L527" i="3" s="1"/>
  <c r="L578" i="3" s="1"/>
  <c r="BG346" i="3"/>
  <c r="BG347" i="3" s="1"/>
  <c r="J346" i="3"/>
  <c r="J347" i="3" s="1"/>
  <c r="AZ346" i="3"/>
  <c r="AZ347" i="3" s="1"/>
  <c r="BU347" i="3"/>
  <c r="J337" i="3"/>
  <c r="H522" i="3"/>
  <c r="H573" i="3" s="1"/>
  <c r="M522" i="3"/>
  <c r="M573" i="3" s="1"/>
  <c r="N46" i="1"/>
  <c r="M46" i="1"/>
  <c r="L522" i="3"/>
  <c r="L573" i="3" s="1"/>
  <c r="D393" i="3"/>
  <c r="D396" i="3" s="1"/>
  <c r="I46" i="1"/>
  <c r="F393" i="3"/>
  <c r="F396" i="3" s="1"/>
  <c r="K46" i="1"/>
  <c r="I522" i="3"/>
  <c r="I573" i="3" s="1"/>
  <c r="F522" i="3"/>
  <c r="F573" i="3" s="1"/>
  <c r="AZ337" i="3"/>
  <c r="C522" i="3"/>
  <c r="C573" i="3" s="1"/>
  <c r="AE337" i="3"/>
  <c r="Q337" i="3"/>
  <c r="M667" i="3"/>
  <c r="R68" i="1"/>
  <c r="C383" i="3" l="1"/>
  <c r="C369" i="3"/>
  <c r="C370" i="3" s="1"/>
  <c r="C345" i="3"/>
  <c r="C362" i="3"/>
  <c r="AV456" i="3"/>
  <c r="AW456" i="3" s="1"/>
  <c r="C371" i="3"/>
  <c r="C532" i="3"/>
  <c r="C583" i="3" s="1"/>
  <c r="C625" i="3" s="1"/>
  <c r="R67" i="1"/>
  <c r="M666" i="3"/>
  <c r="E525" i="3"/>
  <c r="G525" i="3"/>
  <c r="G576" i="3" s="1"/>
  <c r="G633" i="3" s="1"/>
  <c r="J526" i="3"/>
  <c r="J577" i="3" s="1"/>
  <c r="J634" i="3" s="1"/>
  <c r="J525" i="3"/>
  <c r="D526" i="3"/>
  <c r="D577" i="3" s="1"/>
  <c r="D634" i="3" s="1"/>
  <c r="D525" i="3"/>
  <c r="L526" i="3"/>
  <c r="L577" i="3" s="1"/>
  <c r="L634" i="3" s="1"/>
  <c r="L576" i="3"/>
  <c r="L633" i="3" s="1"/>
  <c r="C521" i="3"/>
  <c r="C572" i="3" s="1"/>
  <c r="C533" i="3"/>
  <c r="C584" i="3" s="1"/>
  <c r="C626" i="3" s="1"/>
  <c r="J528" i="3"/>
  <c r="J579" i="3" s="1"/>
  <c r="J636" i="3" s="1"/>
  <c r="O69" i="1" s="1"/>
  <c r="K528" i="3"/>
  <c r="K579" i="3" s="1"/>
  <c r="K636" i="3" s="1"/>
  <c r="P69" i="1" s="1"/>
  <c r="C528" i="3"/>
  <c r="C579" i="3" s="1"/>
  <c r="C636" i="3" s="1"/>
  <c r="H69" i="1" s="1"/>
  <c r="I528" i="3"/>
  <c r="I579" i="3" s="1"/>
  <c r="I636" i="3" s="1"/>
  <c r="N69" i="1" s="1"/>
  <c r="D528" i="3"/>
  <c r="D579" i="3" s="1"/>
  <c r="D636" i="3" s="1"/>
  <c r="I69" i="1" s="1"/>
  <c r="M528" i="3"/>
  <c r="M579" i="3" s="1"/>
  <c r="M636" i="3" s="1"/>
  <c r="R69" i="1" s="1"/>
  <c r="F528" i="3"/>
  <c r="F579" i="3" s="1"/>
  <c r="F636" i="3" s="1"/>
  <c r="K69" i="1" s="1"/>
  <c r="E523" i="3"/>
  <c r="E574" i="3" s="1"/>
  <c r="J523" i="3"/>
  <c r="J574" i="3" s="1"/>
  <c r="D523" i="3"/>
  <c r="D574" i="3" s="1"/>
  <c r="C523" i="3"/>
  <c r="C574" i="3" s="1"/>
  <c r="G523" i="3"/>
  <c r="G574" i="3" s="1"/>
  <c r="K526" i="3"/>
  <c r="K577" i="3" s="1"/>
  <c r="K634" i="3" s="1"/>
  <c r="F526" i="3"/>
  <c r="F577" i="3" s="1"/>
  <c r="F634" i="3" s="1"/>
  <c r="N66" i="1"/>
  <c r="K66" i="1"/>
  <c r="P66" i="1"/>
  <c r="M576" i="3"/>
  <c r="M633" i="3" s="1"/>
  <c r="I526" i="3"/>
  <c r="I577" i="3" s="1"/>
  <c r="I634" i="3" s="1"/>
  <c r="H526" i="3"/>
  <c r="H577" i="3" s="1"/>
  <c r="H634" i="3" s="1"/>
  <c r="F149" i="2"/>
  <c r="D149" i="2"/>
  <c r="E149" i="2"/>
  <c r="M83" i="1" s="1"/>
  <c r="F148" i="2"/>
  <c r="C148" i="2"/>
  <c r="D147" i="2"/>
  <c r="F147" i="2"/>
  <c r="E147" i="2"/>
  <c r="I83" i="1" s="1"/>
  <c r="E148" i="2"/>
  <c r="K83" i="1" s="1"/>
  <c r="J372" i="3"/>
  <c r="J373" i="3" s="1"/>
  <c r="D538" i="3" s="1"/>
  <c r="BG372" i="3"/>
  <c r="BG373" i="3" s="1"/>
  <c r="AZ372" i="3"/>
  <c r="AZ373" i="3" s="1"/>
  <c r="AE372" i="3"/>
  <c r="AE373" i="3" s="1"/>
  <c r="G538" i="3" s="1"/>
  <c r="X372" i="3"/>
  <c r="X373" i="3" s="1"/>
  <c r="BU372" i="3"/>
  <c r="BU373" i="3" s="1"/>
  <c r="M538" i="3" s="1"/>
  <c r="Q372" i="3"/>
  <c r="Q373" i="3" s="1"/>
  <c r="E538" i="3" s="1"/>
  <c r="AS372" i="3"/>
  <c r="AS373" i="3" s="1"/>
  <c r="I538" i="3" s="1"/>
  <c r="BN372" i="3"/>
  <c r="BN373" i="3" s="1"/>
  <c r="AL372" i="3"/>
  <c r="AL373" i="3" s="1"/>
  <c r="C372" i="3"/>
  <c r="H633" i="3"/>
  <c r="L635" i="3"/>
  <c r="L667" i="3" s="1"/>
  <c r="F532" i="3"/>
  <c r="F583" i="3" s="1"/>
  <c r="E532" i="3"/>
  <c r="E583" i="3" s="1"/>
  <c r="G532" i="3"/>
  <c r="G583" i="3" s="1"/>
  <c r="I532" i="3"/>
  <c r="I583" i="3" s="1"/>
  <c r="J532" i="3"/>
  <c r="J583" i="3" s="1"/>
  <c r="K532" i="3"/>
  <c r="K583" i="3" s="1"/>
  <c r="H532" i="3"/>
  <c r="H583" i="3" s="1"/>
  <c r="D532" i="3"/>
  <c r="D583" i="3" s="1"/>
  <c r="M532" i="3"/>
  <c r="M583" i="3" s="1"/>
  <c r="L532" i="3"/>
  <c r="L583" i="3" s="1"/>
  <c r="Q347" i="3"/>
  <c r="AE347" i="3"/>
  <c r="F527" i="3"/>
  <c r="F578" i="3" s="1"/>
  <c r="AL347" i="3"/>
  <c r="I527" i="3"/>
  <c r="I578" i="3" s="1"/>
  <c r="BN347" i="3"/>
  <c r="D527" i="3"/>
  <c r="D578" i="3" s="1"/>
  <c r="J527" i="3"/>
  <c r="J578" i="3" s="1"/>
  <c r="K527" i="3"/>
  <c r="K578" i="3" s="1"/>
  <c r="C527" i="3"/>
  <c r="C578" i="3" s="1"/>
  <c r="H667" i="3"/>
  <c r="M68" i="1"/>
  <c r="J68" i="1"/>
  <c r="E667" i="3"/>
  <c r="G667" i="3"/>
  <c r="L68" i="1"/>
  <c r="C385" i="3" l="1"/>
  <c r="C386" i="3" s="1"/>
  <c r="C374" i="3" s="1"/>
  <c r="C384" i="3"/>
  <c r="C373" i="3"/>
  <c r="C375" i="3" s="1"/>
  <c r="N67" i="1"/>
  <c r="I666" i="3"/>
  <c r="O67" i="1"/>
  <c r="J666" i="3"/>
  <c r="K67" i="1"/>
  <c r="F666" i="3"/>
  <c r="I67" i="1"/>
  <c r="D666" i="3"/>
  <c r="P67" i="1"/>
  <c r="K666" i="3"/>
  <c r="M67" i="1"/>
  <c r="H666" i="3"/>
  <c r="Q67" i="1"/>
  <c r="L666" i="3"/>
  <c r="C536" i="3"/>
  <c r="C587" i="3" s="1"/>
  <c r="C629" i="3" s="1"/>
  <c r="C663" i="3" s="1"/>
  <c r="Q66" i="1"/>
  <c r="C581" i="3"/>
  <c r="C623" i="3" s="1"/>
  <c r="H56" i="1" s="1"/>
  <c r="D576" i="3"/>
  <c r="D633" i="3" s="1"/>
  <c r="G526" i="3"/>
  <c r="G577" i="3" s="1"/>
  <c r="G634" i="3" s="1"/>
  <c r="J530" i="3"/>
  <c r="J581" i="3" s="1"/>
  <c r="J623" i="3" s="1"/>
  <c r="J531" i="3"/>
  <c r="J582" i="3" s="1"/>
  <c r="J624" i="3" s="1"/>
  <c r="J660" i="3" s="1"/>
  <c r="J576" i="3"/>
  <c r="J633" i="3" s="1"/>
  <c r="I530" i="3"/>
  <c r="I581" i="3" s="1"/>
  <c r="I623" i="3" s="1"/>
  <c r="I531" i="3"/>
  <c r="I582" i="3" s="1"/>
  <c r="I624" i="3" s="1"/>
  <c r="I660" i="3" s="1"/>
  <c r="D530" i="3"/>
  <c r="D581" i="3" s="1"/>
  <c r="D623" i="3" s="1"/>
  <c r="D531" i="3"/>
  <c r="D582" i="3" s="1"/>
  <c r="D624" i="3" s="1"/>
  <c r="D660" i="3" s="1"/>
  <c r="F530" i="3"/>
  <c r="F581" i="3" s="1"/>
  <c r="F623" i="3" s="1"/>
  <c r="F531" i="3"/>
  <c r="F582" i="3" s="1"/>
  <c r="F624" i="3" s="1"/>
  <c r="F660" i="3" s="1"/>
  <c r="M530" i="3"/>
  <c r="M581" i="3" s="1"/>
  <c r="M623" i="3" s="1"/>
  <c r="M531" i="3"/>
  <c r="M582" i="3" s="1"/>
  <c r="M624" i="3" s="1"/>
  <c r="M660" i="3" s="1"/>
  <c r="K530" i="3"/>
  <c r="K581" i="3" s="1"/>
  <c r="K623" i="3" s="1"/>
  <c r="K531" i="3"/>
  <c r="K582" i="3" s="1"/>
  <c r="K624" i="3" s="1"/>
  <c r="K660" i="3" s="1"/>
  <c r="E576" i="3"/>
  <c r="E633" i="3" s="1"/>
  <c r="E526" i="3"/>
  <c r="E577" i="3" s="1"/>
  <c r="E634" i="3" s="1"/>
  <c r="C571" i="3"/>
  <c r="C531" i="3"/>
  <c r="C582" i="3" s="1"/>
  <c r="C624" i="3" s="1"/>
  <c r="C660" i="3" s="1"/>
  <c r="C576" i="3"/>
  <c r="C633" i="3" s="1"/>
  <c r="L533" i="3"/>
  <c r="L584" i="3" s="1"/>
  <c r="L626" i="3" s="1"/>
  <c r="L535" i="3"/>
  <c r="L586" i="3" s="1"/>
  <c r="L628" i="3" s="1"/>
  <c r="K533" i="3"/>
  <c r="K584" i="3" s="1"/>
  <c r="K626" i="3" s="1"/>
  <c r="E533" i="3"/>
  <c r="E584" i="3" s="1"/>
  <c r="E626" i="3" s="1"/>
  <c r="E535" i="3"/>
  <c r="E586" i="3" s="1"/>
  <c r="E628" i="3" s="1"/>
  <c r="H533" i="3"/>
  <c r="H584" i="3" s="1"/>
  <c r="H626" i="3" s="1"/>
  <c r="G533" i="3"/>
  <c r="G584" i="3" s="1"/>
  <c r="G626" i="3" s="1"/>
  <c r="G535" i="3"/>
  <c r="G586" i="3" s="1"/>
  <c r="G628" i="3" s="1"/>
  <c r="M533" i="3"/>
  <c r="M584" i="3" s="1"/>
  <c r="M626" i="3" s="1"/>
  <c r="M535" i="3"/>
  <c r="J533" i="3"/>
  <c r="J584" i="3" s="1"/>
  <c r="J626" i="3" s="1"/>
  <c r="J535" i="3"/>
  <c r="J586" i="3" s="1"/>
  <c r="J628" i="3" s="1"/>
  <c r="F533" i="3"/>
  <c r="F584" i="3" s="1"/>
  <c r="F626" i="3" s="1"/>
  <c r="F535" i="3"/>
  <c r="F586" i="3" s="1"/>
  <c r="F628" i="3" s="1"/>
  <c r="D533" i="3"/>
  <c r="D584" i="3" s="1"/>
  <c r="D626" i="3" s="1"/>
  <c r="D535" i="3"/>
  <c r="D586" i="3" s="1"/>
  <c r="D628" i="3" s="1"/>
  <c r="I533" i="3"/>
  <c r="I584" i="3" s="1"/>
  <c r="I626" i="3" s="1"/>
  <c r="G528" i="3"/>
  <c r="G579" i="3" s="1"/>
  <c r="G636" i="3" s="1"/>
  <c r="L69" i="1" s="1"/>
  <c r="E528" i="3"/>
  <c r="E579" i="3" s="1"/>
  <c r="E636" i="3" s="1"/>
  <c r="J69" i="1" s="1"/>
  <c r="L528" i="3"/>
  <c r="L579" i="3" s="1"/>
  <c r="L636" i="3" s="1"/>
  <c r="Q69" i="1" s="1"/>
  <c r="H528" i="3"/>
  <c r="H579" i="3" s="1"/>
  <c r="H636" i="3" s="1"/>
  <c r="M69" i="1" s="1"/>
  <c r="M66" i="1"/>
  <c r="L66" i="1"/>
  <c r="R66" i="1"/>
  <c r="B150" i="2" a="1"/>
  <c r="M586" i="3"/>
  <c r="M628" i="3" s="1"/>
  <c r="G589" i="3"/>
  <c r="G631" i="3" s="1"/>
  <c r="L64" i="1" s="1"/>
  <c r="D589" i="3"/>
  <c r="D631" i="3" s="1"/>
  <c r="I64" i="1" s="1"/>
  <c r="I589" i="3"/>
  <c r="I631" i="3" s="1"/>
  <c r="N64" i="1" s="1"/>
  <c r="E589" i="3"/>
  <c r="E631" i="3" s="1"/>
  <c r="J64" i="1" s="1"/>
  <c r="M589" i="3"/>
  <c r="M631" i="3" s="1"/>
  <c r="R64" i="1" s="1"/>
  <c r="C589" i="3"/>
  <c r="C631" i="3" s="1"/>
  <c r="H64" i="1" s="1"/>
  <c r="J537" i="3"/>
  <c r="D537" i="3"/>
  <c r="L537" i="3"/>
  <c r="L588" i="3" s="1"/>
  <c r="K537" i="3"/>
  <c r="K588" i="3" s="1"/>
  <c r="H537" i="3"/>
  <c r="H588" i="3" s="1"/>
  <c r="F537" i="3"/>
  <c r="F538" i="3"/>
  <c r="Q68" i="1"/>
  <c r="K538" i="3"/>
  <c r="H538" i="3"/>
  <c r="I537" i="3"/>
  <c r="M537" i="3"/>
  <c r="J538" i="3"/>
  <c r="L538" i="3"/>
  <c r="C537" i="3"/>
  <c r="C588" i="3" s="1"/>
  <c r="F635" i="3"/>
  <c r="F667" i="3" s="1"/>
  <c r="C635" i="3"/>
  <c r="C667" i="3" s="1"/>
  <c r="K635" i="3"/>
  <c r="P68" i="1" s="1"/>
  <c r="J635" i="3"/>
  <c r="O68" i="1" s="1"/>
  <c r="I635" i="3"/>
  <c r="N68" i="1" s="1"/>
  <c r="D635" i="3"/>
  <c r="I68" i="1" s="1"/>
  <c r="G537" i="3"/>
  <c r="E537" i="3"/>
  <c r="F625" i="3"/>
  <c r="M625" i="3"/>
  <c r="G625" i="3"/>
  <c r="I625" i="3"/>
  <c r="H59" i="1"/>
  <c r="J625" i="3"/>
  <c r="D625" i="3"/>
  <c r="H625" i="3"/>
  <c r="L625" i="3"/>
  <c r="K625" i="3"/>
  <c r="E625" i="3"/>
  <c r="C661" i="3"/>
  <c r="H58" i="1"/>
  <c r="D63" i="3"/>
  <c r="C63" i="3"/>
  <c r="C538" i="3" l="1"/>
  <c r="B193" i="2"/>
  <c r="G332" i="2" s="1"/>
  <c r="F332" i="2" s="1"/>
  <c r="F338" i="2" s="1"/>
  <c r="J93" i="1" s="1"/>
  <c r="L67" i="1"/>
  <c r="G666" i="3"/>
  <c r="J67" i="1"/>
  <c r="E666" i="3"/>
  <c r="C535" i="3"/>
  <c r="C586" i="3" s="1"/>
  <c r="H57" i="1"/>
  <c r="O57" i="1"/>
  <c r="K57" i="1"/>
  <c r="R57" i="1"/>
  <c r="I57" i="1"/>
  <c r="P57" i="1"/>
  <c r="N57" i="1"/>
  <c r="I66" i="1"/>
  <c r="O56" i="1"/>
  <c r="R56" i="1"/>
  <c r="O66" i="1"/>
  <c r="N56" i="1"/>
  <c r="K56" i="1"/>
  <c r="P56" i="1"/>
  <c r="L536" i="3"/>
  <c r="L587" i="3" s="1"/>
  <c r="L629" i="3" s="1"/>
  <c r="J66" i="1"/>
  <c r="I56" i="1"/>
  <c r="M536" i="3"/>
  <c r="M587" i="3" s="1"/>
  <c r="M629" i="3" s="1"/>
  <c r="M663" i="3" s="1"/>
  <c r="G536" i="3"/>
  <c r="G587" i="3" s="1"/>
  <c r="G629" i="3" s="1"/>
  <c r="G663" i="3" s="1"/>
  <c r="C628" i="3"/>
  <c r="D536" i="3"/>
  <c r="D587" i="3" s="1"/>
  <c r="D629" i="3" s="1"/>
  <c r="I535" i="3"/>
  <c r="I586" i="3" s="1"/>
  <c r="I628" i="3" s="1"/>
  <c r="I536" i="3"/>
  <c r="I587" i="3" s="1"/>
  <c r="I629" i="3" s="1"/>
  <c r="K535" i="3"/>
  <c r="K586" i="3" s="1"/>
  <c r="K628" i="3" s="1"/>
  <c r="K536" i="3"/>
  <c r="K587" i="3" s="1"/>
  <c r="K629" i="3" s="1"/>
  <c r="K663" i="3" s="1"/>
  <c r="J536" i="3"/>
  <c r="J587" i="3" s="1"/>
  <c r="J629" i="3" s="1"/>
  <c r="J663" i="3" s="1"/>
  <c r="F536" i="3"/>
  <c r="F587" i="3" s="1"/>
  <c r="F629" i="3" s="1"/>
  <c r="H535" i="3"/>
  <c r="H586" i="3" s="1"/>
  <c r="H628" i="3" s="1"/>
  <c r="H536" i="3"/>
  <c r="H587" i="3" s="1"/>
  <c r="H629" i="3" s="1"/>
  <c r="E536" i="3"/>
  <c r="E587" i="3" s="1"/>
  <c r="E629" i="3" s="1"/>
  <c r="G530" i="3"/>
  <c r="G581" i="3" s="1"/>
  <c r="G623" i="3" s="1"/>
  <c r="G531" i="3"/>
  <c r="G582" i="3" s="1"/>
  <c r="G624" i="3" s="1"/>
  <c r="G660" i="3" s="1"/>
  <c r="H530" i="3"/>
  <c r="H581" i="3" s="1"/>
  <c r="H623" i="3" s="1"/>
  <c r="H531" i="3"/>
  <c r="H582" i="3" s="1"/>
  <c r="H624" i="3" s="1"/>
  <c r="H660" i="3" s="1"/>
  <c r="L530" i="3"/>
  <c r="L581" i="3" s="1"/>
  <c r="L623" i="3" s="1"/>
  <c r="L531" i="3"/>
  <c r="L582" i="3" s="1"/>
  <c r="L624" i="3" s="1"/>
  <c r="L660" i="3" s="1"/>
  <c r="E530" i="3"/>
  <c r="E581" i="3" s="1"/>
  <c r="E623" i="3" s="1"/>
  <c r="E531" i="3"/>
  <c r="E582" i="3" s="1"/>
  <c r="E624" i="3" s="1"/>
  <c r="E660" i="3" s="1"/>
  <c r="C526" i="3"/>
  <c r="C577" i="3" s="1"/>
  <c r="C634" i="3" s="1"/>
  <c r="J61" i="1"/>
  <c r="L61" i="1"/>
  <c r="O61" i="1"/>
  <c r="Q61" i="1"/>
  <c r="H66" i="1"/>
  <c r="I61" i="1"/>
  <c r="K61" i="1"/>
  <c r="R61" i="1"/>
  <c r="F219" i="2"/>
  <c r="B150" i="2"/>
  <c r="A367" i="2" s="1"/>
  <c r="E367" i="2" s="1"/>
  <c r="E369" i="2" s="1"/>
  <c r="K3" i="7" s="1"/>
  <c r="B13" i="2"/>
  <c r="H62" i="1"/>
  <c r="F589" i="3"/>
  <c r="F631" i="3" s="1"/>
  <c r="K64" i="1" s="1"/>
  <c r="L589" i="3"/>
  <c r="L631" i="3" s="1"/>
  <c r="Q64" i="1" s="1"/>
  <c r="J589" i="3"/>
  <c r="J631" i="3" s="1"/>
  <c r="O64" i="1" s="1"/>
  <c r="H589" i="3"/>
  <c r="H631" i="3" s="1"/>
  <c r="M64" i="1" s="1"/>
  <c r="K589" i="3"/>
  <c r="K631" i="3" s="1"/>
  <c r="P64" i="1" s="1"/>
  <c r="E588" i="3"/>
  <c r="E630" i="3" s="1"/>
  <c r="G588" i="3"/>
  <c r="G630" i="3" s="1"/>
  <c r="F588" i="3"/>
  <c r="F630" i="3" s="1"/>
  <c r="M588" i="3"/>
  <c r="M630" i="3" s="1"/>
  <c r="R63" i="1" s="1"/>
  <c r="I588" i="3"/>
  <c r="I630" i="3" s="1"/>
  <c r="I664" i="3" s="1"/>
  <c r="D588" i="3"/>
  <c r="D630" i="3" s="1"/>
  <c r="J588" i="3"/>
  <c r="J630" i="3" s="1"/>
  <c r="C630" i="3"/>
  <c r="C664" i="3" s="1"/>
  <c r="H630" i="3"/>
  <c r="H664" i="3" s="1"/>
  <c r="K630" i="3"/>
  <c r="K664" i="3" s="1"/>
  <c r="L630" i="3"/>
  <c r="Q63" i="1" s="1"/>
  <c r="J667" i="3"/>
  <c r="K667" i="3"/>
  <c r="D667" i="3"/>
  <c r="I667" i="3"/>
  <c r="K68" i="1"/>
  <c r="H68" i="1"/>
  <c r="K661" i="3"/>
  <c r="P58" i="1"/>
  <c r="J661" i="3"/>
  <c r="O58" i="1"/>
  <c r="M59" i="1"/>
  <c r="N59" i="1"/>
  <c r="K59" i="1"/>
  <c r="L661" i="3"/>
  <c r="Q58" i="1"/>
  <c r="N58" i="1"/>
  <c r="I661" i="3"/>
  <c r="I59" i="1"/>
  <c r="O59" i="1"/>
  <c r="P59" i="1"/>
  <c r="H661" i="3"/>
  <c r="M58" i="1"/>
  <c r="J59" i="1"/>
  <c r="M661" i="3"/>
  <c r="R58" i="1"/>
  <c r="R59" i="1"/>
  <c r="E661" i="3"/>
  <c r="J58" i="1"/>
  <c r="D661" i="3"/>
  <c r="I58" i="1"/>
  <c r="L59" i="1"/>
  <c r="G661" i="3"/>
  <c r="L58" i="1"/>
  <c r="Q59" i="1"/>
  <c r="K58" i="1"/>
  <c r="F661" i="3"/>
  <c r="E63" i="3"/>
  <c r="C65" i="3" s="1"/>
  <c r="C66" i="3" s="1"/>
  <c r="B334" i="2" l="1"/>
  <c r="L62" i="1"/>
  <c r="K62" i="1"/>
  <c r="F663" i="3"/>
  <c r="H67" i="1"/>
  <c r="C666" i="3"/>
  <c r="N62" i="1"/>
  <c r="I663" i="3"/>
  <c r="Q62" i="1"/>
  <c r="L663" i="3"/>
  <c r="P62" i="1"/>
  <c r="J62" i="1"/>
  <c r="E663" i="3"/>
  <c r="R62" i="1"/>
  <c r="M62" i="1"/>
  <c r="H663" i="3"/>
  <c r="I62" i="1"/>
  <c r="D663" i="3"/>
  <c r="O62" i="1"/>
  <c r="P61" i="1"/>
  <c r="M61" i="1"/>
  <c r="N61" i="1"/>
  <c r="M57" i="1"/>
  <c r="L57" i="1"/>
  <c r="J57" i="1"/>
  <c r="Q57" i="1"/>
  <c r="H61" i="1"/>
  <c r="Q56" i="1"/>
  <c r="M56" i="1"/>
  <c r="J56" i="1"/>
  <c r="L56" i="1"/>
  <c r="G367" i="2"/>
  <c r="B222" i="2"/>
  <c r="I36" i="7" s="1"/>
  <c r="F367" i="2"/>
  <c r="D367" i="2"/>
  <c r="D369" i="2" s="1"/>
  <c r="J3" i="7" s="1"/>
  <c r="C367" i="2"/>
  <c r="C369" i="2" s="1"/>
  <c r="I3" i="7" s="1"/>
  <c r="H3" i="7"/>
  <c r="H367" i="2"/>
  <c r="I367" i="2"/>
  <c r="C370" i="2" s="1"/>
  <c r="B370" i="2" s="1"/>
  <c r="O3" i="7" s="1"/>
  <c r="K367" i="2"/>
  <c r="G368" i="2" s="1"/>
  <c r="M2" i="7" s="1"/>
  <c r="B367" i="2"/>
  <c r="J367" i="2"/>
  <c r="I63" i="1"/>
  <c r="D664" i="3"/>
  <c r="K63" i="1"/>
  <c r="F664" i="3"/>
  <c r="O63" i="1"/>
  <c r="J664" i="3"/>
  <c r="L63" i="1"/>
  <c r="G664" i="3"/>
  <c r="J63" i="1"/>
  <c r="E664" i="3"/>
  <c r="R83" i="1"/>
  <c r="L664" i="3"/>
  <c r="P63" i="1"/>
  <c r="M63" i="1"/>
  <c r="N63" i="1"/>
  <c r="H63" i="1"/>
  <c r="M664" i="3"/>
  <c r="BG256" i="3"/>
  <c r="BG257" i="3" s="1"/>
  <c r="BG258" i="3" s="1"/>
  <c r="K507" i="3" s="1"/>
  <c r="K558" i="3" s="1"/>
  <c r="K615" i="3" s="1"/>
  <c r="AL256" i="3"/>
  <c r="AL257" i="3" s="1"/>
  <c r="AL258" i="3" s="1"/>
  <c r="H507" i="3" s="1"/>
  <c r="H558" i="3" s="1"/>
  <c r="H615" i="3" s="1"/>
  <c r="J256" i="3"/>
  <c r="J257" i="3" s="1"/>
  <c r="J258" i="3" s="1"/>
  <c r="D507" i="3" s="1"/>
  <c r="D558" i="3" s="1"/>
  <c r="D615" i="3" s="1"/>
  <c r="C256" i="3"/>
  <c r="C257" i="3" s="1"/>
  <c r="C258" i="3" s="1"/>
  <c r="C507" i="3" s="1"/>
  <c r="BU256" i="3"/>
  <c r="BU257" i="3" s="1"/>
  <c r="BU258" i="3" s="1"/>
  <c r="M507" i="3" s="1"/>
  <c r="AE256" i="3"/>
  <c r="AE257" i="3" s="1"/>
  <c r="AE258" i="3" s="1"/>
  <c r="G507" i="3" s="1"/>
  <c r="X256" i="3"/>
  <c r="X257" i="3" s="1"/>
  <c r="X258" i="3" s="1"/>
  <c r="F507" i="3" s="1"/>
  <c r="AZ256" i="3"/>
  <c r="AZ257" i="3" s="1"/>
  <c r="AZ258" i="3" s="1"/>
  <c r="J507" i="3" s="1"/>
  <c r="BN256" i="3"/>
  <c r="BN257" i="3" s="1"/>
  <c r="BN258" i="3" s="1"/>
  <c r="L507" i="3" s="1"/>
  <c r="AS256" i="3"/>
  <c r="AS257" i="3" s="1"/>
  <c r="AS258" i="3" s="1"/>
  <c r="I507" i="3" s="1"/>
  <c r="Q256" i="3"/>
  <c r="Q257" i="3" s="1"/>
  <c r="Q258" i="3" s="1"/>
  <c r="E507" i="3" s="1"/>
  <c r="F369" i="2" l="1"/>
  <c r="L3" i="7" s="1"/>
  <c r="H369" i="2"/>
  <c r="N3" i="7" s="1"/>
  <c r="G369" i="2"/>
  <c r="M3" i="7" s="1"/>
  <c r="B207" i="2"/>
  <c r="F368" i="2"/>
  <c r="L2" i="7" s="1"/>
  <c r="H557" i="3"/>
  <c r="H614" i="3" s="1"/>
  <c r="H650" i="3" s="1"/>
  <c r="D557" i="3"/>
  <c r="D614" i="3" s="1"/>
  <c r="D650" i="3" s="1"/>
  <c r="K557" i="3"/>
  <c r="K614" i="3" s="1"/>
  <c r="D257" i="3"/>
  <c r="G558" i="3"/>
  <c r="G615" i="3" s="1"/>
  <c r="G557" i="3"/>
  <c r="M557" i="3"/>
  <c r="M558" i="3"/>
  <c r="M615" i="3" s="1"/>
  <c r="E558" i="3"/>
  <c r="E615" i="3" s="1"/>
  <c r="E557" i="3"/>
  <c r="I48" i="1"/>
  <c r="D648" i="3"/>
  <c r="D394" i="3"/>
  <c r="D397" i="3" s="1"/>
  <c r="L557" i="3"/>
  <c r="L558" i="3"/>
  <c r="L615" i="3" s="1"/>
  <c r="F557" i="3"/>
  <c r="F558" i="3"/>
  <c r="F615" i="3" s="1"/>
  <c r="C557" i="3"/>
  <c r="C558" i="3"/>
  <c r="C615" i="3" s="1"/>
  <c r="I558" i="3"/>
  <c r="I615" i="3" s="1"/>
  <c r="I557" i="3"/>
  <c r="J557" i="3"/>
  <c r="J558" i="3"/>
  <c r="J615" i="3" s="1"/>
  <c r="M48" i="1"/>
  <c r="H648" i="3"/>
  <c r="H394" i="3"/>
  <c r="H397" i="3" s="1"/>
  <c r="P48" i="1"/>
  <c r="K394" i="3"/>
  <c r="K397" i="3" s="1"/>
  <c r="K648" i="3"/>
  <c r="I37" i="7" l="1"/>
  <c r="B224" i="2"/>
  <c r="N48" i="1"/>
  <c r="I394" i="3"/>
  <c r="I397" i="3" s="1"/>
  <c r="I648" i="3"/>
  <c r="H48" i="1"/>
  <c r="C648" i="3"/>
  <c r="C394" i="3"/>
  <c r="C397" i="3" s="1"/>
  <c r="E614" i="3"/>
  <c r="E650" i="3" s="1"/>
  <c r="I614" i="3"/>
  <c r="C614" i="3"/>
  <c r="C650" i="3" s="1"/>
  <c r="J48" i="1"/>
  <c r="E394" i="3"/>
  <c r="E397" i="3" s="1"/>
  <c r="E648" i="3"/>
  <c r="J648" i="3"/>
  <c r="O48" i="1"/>
  <c r="J394" i="3"/>
  <c r="J397" i="3" s="1"/>
  <c r="R48" i="1"/>
  <c r="M394" i="3"/>
  <c r="M648" i="3"/>
  <c r="F614" i="3"/>
  <c r="F650" i="3" s="1"/>
  <c r="M614" i="3"/>
  <c r="M650" i="3" s="1"/>
  <c r="K649" i="3"/>
  <c r="P47" i="1"/>
  <c r="F648" i="3"/>
  <c r="K48" i="1"/>
  <c r="F394" i="3"/>
  <c r="F397" i="3" s="1"/>
  <c r="M47" i="1"/>
  <c r="H649" i="3"/>
  <c r="Q48" i="1"/>
  <c r="L648" i="3"/>
  <c r="L394" i="3"/>
  <c r="L397" i="3" s="1"/>
  <c r="G614" i="3"/>
  <c r="G650" i="3" s="1"/>
  <c r="J614" i="3"/>
  <c r="J650" i="3" s="1"/>
  <c r="K650" i="3"/>
  <c r="L614" i="3"/>
  <c r="L650" i="3" s="1"/>
  <c r="I47" i="1"/>
  <c r="D649" i="3"/>
  <c r="G394" i="3"/>
  <c r="G397" i="3" s="1"/>
  <c r="G648" i="3"/>
  <c r="L48" i="1"/>
  <c r="H35" i="7" l="1"/>
  <c r="F92" i="1"/>
  <c r="C398" i="3"/>
  <c r="C399" i="3" s="1"/>
  <c r="C402" i="3" s="1"/>
  <c r="J649" i="3"/>
  <c r="O47" i="1"/>
  <c r="K47" i="1"/>
  <c r="F649" i="3"/>
  <c r="I649" i="3"/>
  <c r="N47" i="1"/>
  <c r="R47" i="1"/>
  <c r="M649" i="3"/>
  <c r="C649" i="3"/>
  <c r="H47" i="1"/>
  <c r="L649" i="3"/>
  <c r="Q47" i="1"/>
  <c r="J47" i="1"/>
  <c r="E649" i="3"/>
  <c r="I650" i="3"/>
  <c r="N650" i="3" s="1"/>
  <c r="L47" i="1"/>
  <c r="G649" i="3"/>
  <c r="C405" i="3" l="1"/>
  <c r="M654" i="3" s="1"/>
  <c r="M658" i="3" s="1"/>
  <c r="N649" i="3"/>
  <c r="P649" i="3" s="1"/>
  <c r="AL300" i="3"/>
  <c r="AL301" i="3" s="1"/>
  <c r="AL302" i="3" s="1"/>
  <c r="BU300" i="3"/>
  <c r="BU301" i="3" s="1"/>
  <c r="BU302" i="3" s="1"/>
  <c r="C404" i="3"/>
  <c r="C41" i="3" s="1"/>
  <c r="AE300" i="3"/>
  <c r="AE301" i="3" s="1"/>
  <c r="AE302" i="3" s="1"/>
  <c r="X300" i="3"/>
  <c r="X301" i="3" s="1"/>
  <c r="X302" i="3" s="1"/>
  <c r="BG300" i="3"/>
  <c r="BG301" i="3" s="1"/>
  <c r="BG302" i="3" s="1"/>
  <c r="C300" i="3"/>
  <c r="C301" i="3" s="1"/>
  <c r="C302" i="3" s="1"/>
  <c r="AS300" i="3"/>
  <c r="AS301" i="3" s="1"/>
  <c r="AS302" i="3" s="1"/>
  <c r="BN300" i="3"/>
  <c r="BN301" i="3" s="1"/>
  <c r="BN302" i="3" s="1"/>
  <c r="C403" i="3"/>
  <c r="J300" i="3"/>
  <c r="J301" i="3" s="1"/>
  <c r="J302" i="3" s="1"/>
  <c r="Q300" i="3"/>
  <c r="Q301" i="3" s="1"/>
  <c r="Q302" i="3" s="1"/>
  <c r="AZ300" i="3"/>
  <c r="AZ301" i="3" s="1"/>
  <c r="AZ302" i="3" s="1"/>
  <c r="J653" i="3" l="1"/>
  <c r="J657" i="3" s="1"/>
  <c r="K653" i="3"/>
  <c r="K657" i="3" s="1"/>
  <c r="D653" i="3"/>
  <c r="D657" i="3" s="1"/>
  <c r="F652" i="3"/>
  <c r="F656" i="3" s="1"/>
  <c r="H653" i="3"/>
  <c r="H657" i="3" s="1"/>
  <c r="G653" i="3"/>
  <c r="G657" i="3" s="1"/>
  <c r="E652" i="3"/>
  <c r="E656" i="3" s="1"/>
  <c r="C654" i="3"/>
  <c r="C658" i="3" s="1"/>
  <c r="C652" i="3"/>
  <c r="C656" i="3" s="1"/>
  <c r="C653" i="3"/>
  <c r="C657" i="3" s="1"/>
  <c r="D652" i="3"/>
  <c r="D656" i="3" s="1"/>
  <c r="I654" i="3"/>
  <c r="I658" i="3" s="1"/>
  <c r="M652" i="3"/>
  <c r="M656" i="3" s="1"/>
  <c r="H654" i="3"/>
  <c r="H658" i="3" s="1"/>
  <c r="H652" i="3"/>
  <c r="H656" i="3" s="1"/>
  <c r="M20" i="1"/>
  <c r="L653" i="3"/>
  <c r="L657" i="3" s="1"/>
  <c r="I653" i="3"/>
  <c r="I657" i="3" s="1"/>
  <c r="J654" i="3"/>
  <c r="J658" i="3" s="1"/>
  <c r="M653" i="3"/>
  <c r="M657" i="3" s="1"/>
  <c r="B295" i="2"/>
  <c r="B298" i="2" s="1"/>
  <c r="B308" i="2" s="1"/>
  <c r="J652" i="3"/>
  <c r="J656" i="3" s="1"/>
  <c r="D654" i="3"/>
  <c r="D658" i="3" s="1"/>
  <c r="E654" i="3"/>
  <c r="E658" i="3" s="1"/>
  <c r="G652" i="3"/>
  <c r="G656" i="3" s="1"/>
  <c r="I652" i="3"/>
  <c r="I656" i="3" s="1"/>
  <c r="F654" i="3"/>
  <c r="F658" i="3" s="1"/>
  <c r="K652" i="3"/>
  <c r="K656" i="3" s="1"/>
  <c r="L654" i="3"/>
  <c r="L658" i="3" s="1"/>
  <c r="L652" i="3"/>
  <c r="L656" i="3" s="1"/>
  <c r="G654" i="3"/>
  <c r="G658" i="3" s="1"/>
  <c r="F653" i="3"/>
  <c r="F657" i="3" s="1"/>
  <c r="K654" i="3"/>
  <c r="K658" i="3" s="1"/>
  <c r="M16" i="1"/>
  <c r="E653" i="3"/>
  <c r="E657" i="3" s="1"/>
  <c r="BW303" i="3"/>
  <c r="BW305" i="3"/>
  <c r="BW304" i="3"/>
  <c r="BB305" i="3"/>
  <c r="BB304" i="3"/>
  <c r="BB303" i="3"/>
  <c r="AN303" i="3"/>
  <c r="AN305" i="3"/>
  <c r="AN304" i="3"/>
  <c r="S304" i="3"/>
  <c r="S305" i="3"/>
  <c r="S303" i="3"/>
  <c r="L304" i="3"/>
  <c r="L303" i="3"/>
  <c r="L305" i="3"/>
  <c r="AG303" i="3"/>
  <c r="AG305" i="3"/>
  <c r="AG304" i="3"/>
  <c r="E303" i="3"/>
  <c r="E305" i="3"/>
  <c r="E304" i="3"/>
  <c r="BI305" i="3"/>
  <c r="BI303" i="3"/>
  <c r="BI304" i="3"/>
  <c r="Z303" i="3"/>
  <c r="Z304" i="3"/>
  <c r="Z305" i="3"/>
  <c r="BP303" i="3"/>
  <c r="BP304" i="3"/>
  <c r="BP305" i="3"/>
  <c r="B304" i="2"/>
  <c r="M18" i="1"/>
  <c r="Q292" i="3"/>
  <c r="Q293" i="3" s="1"/>
  <c r="C292" i="3"/>
  <c r="C293" i="3" s="1"/>
  <c r="BG292" i="3"/>
  <c r="BG293" i="3" s="1"/>
  <c r="X292" i="3"/>
  <c r="X293" i="3" s="1"/>
  <c r="BN292" i="3"/>
  <c r="BN293" i="3" s="1"/>
  <c r="AS292" i="3"/>
  <c r="AS293" i="3" s="1"/>
  <c r="AE292" i="3"/>
  <c r="AE293" i="3" s="1"/>
  <c r="BU292" i="3"/>
  <c r="BU293" i="3" s="1"/>
  <c r="AL292" i="3"/>
  <c r="AL293" i="3" s="1"/>
  <c r="J292" i="3"/>
  <c r="J293" i="3" s="1"/>
  <c r="AZ292" i="3"/>
  <c r="AZ293" i="3" s="1"/>
  <c r="AU305" i="3"/>
  <c r="AU303" i="3"/>
  <c r="AU304" i="3"/>
  <c r="A35" i="7" l="1"/>
  <c r="N657" i="3"/>
  <c r="N658" i="3"/>
  <c r="N656" i="3"/>
  <c r="AE307" i="3"/>
  <c r="AF307" i="3"/>
  <c r="AZ294" i="3"/>
  <c r="J503" i="3" s="1"/>
  <c r="J554" i="3" s="1"/>
  <c r="J611" i="3" s="1"/>
  <c r="O44" i="1" s="1"/>
  <c r="J504" i="3"/>
  <c r="J555" i="3" s="1"/>
  <c r="J612" i="3" s="1"/>
  <c r="O45" i="1" s="1"/>
  <c r="BH307" i="3"/>
  <c r="BG307" i="3"/>
  <c r="AL307" i="3"/>
  <c r="AM307" i="3"/>
  <c r="C504" i="3"/>
  <c r="C555" i="3" s="1"/>
  <c r="C612" i="3" s="1"/>
  <c r="H45" i="1" s="1"/>
  <c r="C294" i="3"/>
  <c r="C503" i="3" s="1"/>
  <c r="C554" i="3" s="1"/>
  <c r="C611" i="3" s="1"/>
  <c r="H44" i="1" s="1"/>
  <c r="J307" i="3"/>
  <c r="K307" i="3"/>
  <c r="BA307" i="3"/>
  <c r="AZ307" i="3"/>
  <c r="F504" i="3"/>
  <c r="F555" i="3" s="1"/>
  <c r="F612" i="3" s="1"/>
  <c r="K45" i="1" s="1"/>
  <c r="X294" i="3"/>
  <c r="F503" i="3" s="1"/>
  <c r="F554" i="3" s="1"/>
  <c r="F611" i="3" s="1"/>
  <c r="K44" i="1" s="1"/>
  <c r="AL294" i="3"/>
  <c r="H503" i="3" s="1"/>
  <c r="H554" i="3" s="1"/>
  <c r="H611" i="3" s="1"/>
  <c r="M44" i="1" s="1"/>
  <c r="H504" i="3"/>
  <c r="H555" i="3" s="1"/>
  <c r="H612" i="3" s="1"/>
  <c r="M45" i="1" s="1"/>
  <c r="Q307" i="3"/>
  <c r="R307" i="3"/>
  <c r="D307" i="3"/>
  <c r="C307" i="3"/>
  <c r="BG294" i="3"/>
  <c r="K503" i="3" s="1"/>
  <c r="K554" i="3" s="1"/>
  <c r="K611" i="3" s="1"/>
  <c r="P44" i="1" s="1"/>
  <c r="K504" i="3"/>
  <c r="K555" i="3" s="1"/>
  <c r="K612" i="3" s="1"/>
  <c r="P45" i="1" s="1"/>
  <c r="E504" i="3"/>
  <c r="E555" i="3" s="1"/>
  <c r="E612" i="3" s="1"/>
  <c r="J45" i="1" s="1"/>
  <c r="Q294" i="3"/>
  <c r="E503" i="3" s="1"/>
  <c r="E554" i="3" s="1"/>
  <c r="E611" i="3" s="1"/>
  <c r="BO307" i="3"/>
  <c r="BN307" i="3"/>
  <c r="D308" i="2"/>
  <c r="B10" i="2"/>
  <c r="S50" i="1" s="1"/>
  <c r="D307" i="2"/>
  <c r="B299" i="2"/>
  <c r="A36" i="7" s="1"/>
  <c r="J294" i="3"/>
  <c r="D503" i="3" s="1"/>
  <c r="D554" i="3" s="1"/>
  <c r="D611" i="3" s="1"/>
  <c r="D504" i="3"/>
  <c r="D555" i="3" s="1"/>
  <c r="D612" i="3" s="1"/>
  <c r="I45" i="1" s="1"/>
  <c r="BU294" i="3"/>
  <c r="M503" i="3" s="1"/>
  <c r="M554" i="3" s="1"/>
  <c r="M611" i="3" s="1"/>
  <c r="R44" i="1" s="1"/>
  <c r="M504" i="3"/>
  <c r="M555" i="3" s="1"/>
  <c r="M612" i="3" s="1"/>
  <c r="R45" i="1" s="1"/>
  <c r="G504" i="3"/>
  <c r="G555" i="3" s="1"/>
  <c r="G612" i="3" s="1"/>
  <c r="L45" i="1" s="1"/>
  <c r="AE294" i="3"/>
  <c r="G503" i="3" s="1"/>
  <c r="G554" i="3" s="1"/>
  <c r="G611" i="3" s="1"/>
  <c r="L44" i="1" s="1"/>
  <c r="AS294" i="3"/>
  <c r="I503" i="3" s="1"/>
  <c r="I554" i="3" s="1"/>
  <c r="I611" i="3" s="1"/>
  <c r="N44" i="1" s="1"/>
  <c r="I504" i="3"/>
  <c r="I555" i="3" s="1"/>
  <c r="I612" i="3" s="1"/>
  <c r="N45" i="1" s="1"/>
  <c r="AS307" i="3"/>
  <c r="AT307" i="3"/>
  <c r="L504" i="3"/>
  <c r="L555" i="3" s="1"/>
  <c r="L612" i="3" s="1"/>
  <c r="Q45" i="1" s="1"/>
  <c r="BN294" i="3"/>
  <c r="L503" i="3" s="1"/>
  <c r="L554" i="3" s="1"/>
  <c r="L611" i="3" s="1"/>
  <c r="Q44" i="1" s="1"/>
  <c r="Y307" i="3"/>
  <c r="X307" i="3"/>
  <c r="BV307" i="3"/>
  <c r="BU307" i="3"/>
  <c r="J44" i="1" l="1"/>
  <c r="Z307" i="3"/>
  <c r="X309" i="3" s="1"/>
  <c r="E307" i="3"/>
  <c r="C309" i="3" s="1"/>
  <c r="BB307" i="3"/>
  <c r="AZ308" i="3" s="1"/>
  <c r="J509" i="3" s="1"/>
  <c r="J560" i="3" s="1"/>
  <c r="J617" i="3" s="1"/>
  <c r="O50" i="1" s="1"/>
  <c r="BI307" i="3"/>
  <c r="BG309" i="3" s="1"/>
  <c r="AN307" i="3"/>
  <c r="AL308" i="3" s="1"/>
  <c r="H509" i="3" s="1"/>
  <c r="H560" i="3" s="1"/>
  <c r="H617" i="3" s="1"/>
  <c r="M50" i="1" s="1"/>
  <c r="S307" i="3"/>
  <c r="Q309" i="3" s="1"/>
  <c r="L307" i="3"/>
  <c r="J309" i="3" s="1"/>
  <c r="AU307" i="3"/>
  <c r="AS309" i="3" s="1"/>
  <c r="AG307" i="3"/>
  <c r="AE308" i="3" s="1"/>
  <c r="G509" i="3" s="1"/>
  <c r="G560" i="3" s="1"/>
  <c r="G617" i="3" s="1"/>
  <c r="L50" i="1" s="1"/>
  <c r="BW307" i="3"/>
  <c r="BP307" i="3"/>
  <c r="I44" i="1"/>
  <c r="C308" i="3" l="1"/>
  <c r="C509" i="3" s="1"/>
  <c r="C560" i="3" s="1"/>
  <c r="C617" i="3" s="1"/>
  <c r="H50" i="1" s="1"/>
  <c r="AZ309" i="3"/>
  <c r="AZ310" i="3" s="1"/>
  <c r="J511" i="3" s="1"/>
  <c r="J562" i="3" s="1"/>
  <c r="J619" i="3" s="1"/>
  <c r="O52" i="1" s="1"/>
  <c r="BG308" i="3"/>
  <c r="K509" i="3" s="1"/>
  <c r="K560" i="3" s="1"/>
  <c r="K617" i="3" s="1"/>
  <c r="P50" i="1" s="1"/>
  <c r="X308" i="3"/>
  <c r="F509" i="3" s="1"/>
  <c r="F560" i="3" s="1"/>
  <c r="F617" i="3" s="1"/>
  <c r="K50" i="1" s="1"/>
  <c r="AL309" i="3"/>
  <c r="AL310" i="3" s="1"/>
  <c r="H511" i="3" s="1"/>
  <c r="H562" i="3" s="1"/>
  <c r="H619" i="3" s="1"/>
  <c r="M52" i="1" s="1"/>
  <c r="AE309" i="3"/>
  <c r="AE312" i="3" s="1"/>
  <c r="AE313" i="3" s="1"/>
  <c r="G513" i="3" s="1"/>
  <c r="G564" i="3" s="1"/>
  <c r="G621" i="3" s="1"/>
  <c r="L54" i="1" s="1"/>
  <c r="AS308" i="3"/>
  <c r="I509" i="3" s="1"/>
  <c r="I560" i="3" s="1"/>
  <c r="I617" i="3" s="1"/>
  <c r="N50" i="1" s="1"/>
  <c r="J308" i="3"/>
  <c r="D509" i="3" s="1"/>
  <c r="D560" i="3" s="1"/>
  <c r="D617" i="3" s="1"/>
  <c r="Q308" i="3"/>
  <c r="E509" i="3" s="1"/>
  <c r="E560" i="3" s="1"/>
  <c r="E617" i="3" s="1"/>
  <c r="BN309" i="3"/>
  <c r="BN308" i="3"/>
  <c r="L509" i="3" s="1"/>
  <c r="L560" i="3" s="1"/>
  <c r="L617" i="3" s="1"/>
  <c r="Q50" i="1" s="1"/>
  <c r="K510" i="3"/>
  <c r="K561" i="3" s="1"/>
  <c r="K618" i="3" s="1"/>
  <c r="P51" i="1" s="1"/>
  <c r="BG310" i="3"/>
  <c r="K511" i="3" s="1"/>
  <c r="K562" i="3" s="1"/>
  <c r="K619" i="3" s="1"/>
  <c r="P52" i="1" s="1"/>
  <c r="BG311" i="3"/>
  <c r="K512" i="3" s="1"/>
  <c r="K563" i="3" s="1"/>
  <c r="K620" i="3" s="1"/>
  <c r="P53" i="1" s="1"/>
  <c r="BG312" i="3"/>
  <c r="BG313" i="3" s="1"/>
  <c r="K513" i="3" s="1"/>
  <c r="K564" i="3" s="1"/>
  <c r="K621" i="3" s="1"/>
  <c r="P54" i="1" s="1"/>
  <c r="F510" i="3"/>
  <c r="F561" i="3" s="1"/>
  <c r="F618" i="3" s="1"/>
  <c r="K51" i="1" s="1"/>
  <c r="X311" i="3"/>
  <c r="F512" i="3" s="1"/>
  <c r="F563" i="3" s="1"/>
  <c r="F620" i="3" s="1"/>
  <c r="K53" i="1" s="1"/>
  <c r="X312" i="3"/>
  <c r="X313" i="3" s="1"/>
  <c r="F513" i="3" s="1"/>
  <c r="F564" i="3" s="1"/>
  <c r="F621" i="3" s="1"/>
  <c r="K54" i="1" s="1"/>
  <c r="X310" i="3"/>
  <c r="F511" i="3" s="1"/>
  <c r="F562" i="3" s="1"/>
  <c r="F619" i="3" s="1"/>
  <c r="K52" i="1" s="1"/>
  <c r="Q310" i="3"/>
  <c r="E511" i="3" s="1"/>
  <c r="E562" i="3" s="1"/>
  <c r="E619" i="3" s="1"/>
  <c r="J52" i="1" s="1"/>
  <c r="Q311" i="3"/>
  <c r="E512" i="3" s="1"/>
  <c r="E563" i="3" s="1"/>
  <c r="E620" i="3" s="1"/>
  <c r="J53" i="1" s="1"/>
  <c r="Q312" i="3"/>
  <c r="Q313" i="3" s="1"/>
  <c r="E513" i="3" s="1"/>
  <c r="E564" i="3" s="1"/>
  <c r="E621" i="3" s="1"/>
  <c r="J54" i="1" s="1"/>
  <c r="E510" i="3"/>
  <c r="E561" i="3" s="1"/>
  <c r="E618" i="3" s="1"/>
  <c r="J51" i="1" s="1"/>
  <c r="BU308" i="3"/>
  <c r="M509" i="3" s="1"/>
  <c r="M560" i="3" s="1"/>
  <c r="M617" i="3" s="1"/>
  <c r="R50" i="1" s="1"/>
  <c r="BU309" i="3"/>
  <c r="J310" i="3"/>
  <c r="D511" i="3" s="1"/>
  <c r="D562" i="3" s="1"/>
  <c r="D619" i="3" s="1"/>
  <c r="I52" i="1" s="1"/>
  <c r="J311" i="3"/>
  <c r="D512" i="3" s="1"/>
  <c r="D563" i="3" s="1"/>
  <c r="D620" i="3" s="1"/>
  <c r="I53" i="1" s="1"/>
  <c r="J312" i="3"/>
  <c r="J313" i="3" s="1"/>
  <c r="D513" i="3" s="1"/>
  <c r="D564" i="3" s="1"/>
  <c r="D621" i="3" s="1"/>
  <c r="I54" i="1" s="1"/>
  <c r="D510" i="3"/>
  <c r="D561" i="3" s="1"/>
  <c r="D618" i="3" s="1"/>
  <c r="C310" i="3"/>
  <c r="C511" i="3" s="1"/>
  <c r="C562" i="3" s="1"/>
  <c r="C619" i="3" s="1"/>
  <c r="H52" i="1" s="1"/>
  <c r="C311" i="3"/>
  <c r="C512" i="3" s="1"/>
  <c r="C563" i="3" s="1"/>
  <c r="C620" i="3" s="1"/>
  <c r="H53" i="1" s="1"/>
  <c r="C312" i="3"/>
  <c r="C313" i="3" s="1"/>
  <c r="C513" i="3" s="1"/>
  <c r="C564" i="3" s="1"/>
  <c r="C621" i="3" s="1"/>
  <c r="H54" i="1" s="1"/>
  <c r="C510" i="3"/>
  <c r="C561" i="3" s="1"/>
  <c r="C618" i="3" s="1"/>
  <c r="H51" i="1" s="1"/>
  <c r="I510" i="3"/>
  <c r="I561" i="3" s="1"/>
  <c r="I618" i="3" s="1"/>
  <c r="N51" i="1" s="1"/>
  <c r="AS310" i="3"/>
  <c r="I511" i="3" s="1"/>
  <c r="I562" i="3" s="1"/>
  <c r="I619" i="3" s="1"/>
  <c r="N52" i="1" s="1"/>
  <c r="AS311" i="3"/>
  <c r="I512" i="3" s="1"/>
  <c r="I563" i="3" s="1"/>
  <c r="I620" i="3" s="1"/>
  <c r="N53" i="1" s="1"/>
  <c r="AS312" i="3"/>
  <c r="AS313" i="3" s="1"/>
  <c r="I513" i="3" s="1"/>
  <c r="I564" i="3" s="1"/>
  <c r="I621" i="3" s="1"/>
  <c r="N54" i="1" s="1"/>
  <c r="J50" i="1" l="1"/>
  <c r="I50" i="1"/>
  <c r="J510" i="3"/>
  <c r="J561" i="3" s="1"/>
  <c r="J618" i="3" s="1"/>
  <c r="O51" i="1" s="1"/>
  <c r="AZ311" i="3"/>
  <c r="J512" i="3" s="1"/>
  <c r="J563" i="3" s="1"/>
  <c r="J620" i="3" s="1"/>
  <c r="O53" i="1" s="1"/>
  <c r="AZ312" i="3"/>
  <c r="AZ313" i="3" s="1"/>
  <c r="J513" i="3" s="1"/>
  <c r="J564" i="3" s="1"/>
  <c r="J621" i="3" s="1"/>
  <c r="O54" i="1" s="1"/>
  <c r="H510" i="3"/>
  <c r="H561" i="3" s="1"/>
  <c r="H618" i="3" s="1"/>
  <c r="M51" i="1" s="1"/>
  <c r="AL311" i="3"/>
  <c r="H512" i="3" s="1"/>
  <c r="H563" i="3" s="1"/>
  <c r="H620" i="3" s="1"/>
  <c r="M53" i="1" s="1"/>
  <c r="AE311" i="3"/>
  <c r="G512" i="3" s="1"/>
  <c r="G563" i="3" s="1"/>
  <c r="G620" i="3" s="1"/>
  <c r="L53" i="1" s="1"/>
  <c r="AL312" i="3"/>
  <c r="AL313" i="3" s="1"/>
  <c r="H513" i="3" s="1"/>
  <c r="H564" i="3" s="1"/>
  <c r="H621" i="3" s="1"/>
  <c r="M54" i="1" s="1"/>
  <c r="G510" i="3"/>
  <c r="G561" i="3" s="1"/>
  <c r="G618" i="3" s="1"/>
  <c r="L51" i="1" s="1"/>
  <c r="AE310" i="3"/>
  <c r="G511" i="3" s="1"/>
  <c r="G562" i="3" s="1"/>
  <c r="G619" i="3" s="1"/>
  <c r="L52" i="1" s="1"/>
  <c r="BU311" i="3"/>
  <c r="M512" i="3" s="1"/>
  <c r="M563" i="3" s="1"/>
  <c r="M620" i="3" s="1"/>
  <c r="R53" i="1" s="1"/>
  <c r="M510" i="3"/>
  <c r="M561" i="3" s="1"/>
  <c r="M618" i="3" s="1"/>
  <c r="R51" i="1" s="1"/>
  <c r="BU312" i="3"/>
  <c r="BU313" i="3" s="1"/>
  <c r="M513" i="3" s="1"/>
  <c r="M564" i="3" s="1"/>
  <c r="M621" i="3" s="1"/>
  <c r="R54" i="1" s="1"/>
  <c r="BU310" i="3"/>
  <c r="M511" i="3" s="1"/>
  <c r="M562" i="3" s="1"/>
  <c r="M619" i="3" s="1"/>
  <c r="R52" i="1" s="1"/>
  <c r="I51" i="1"/>
  <c r="BN311" i="3"/>
  <c r="L512" i="3" s="1"/>
  <c r="L563" i="3" s="1"/>
  <c r="L620" i="3" s="1"/>
  <c r="Q53" i="1" s="1"/>
  <c r="L510" i="3"/>
  <c r="L561" i="3" s="1"/>
  <c r="L618" i="3" s="1"/>
  <c r="Q51" i="1" s="1"/>
  <c r="BN312" i="3"/>
  <c r="BN313" i="3" s="1"/>
  <c r="L513" i="3" s="1"/>
  <c r="L564" i="3" s="1"/>
  <c r="L621" i="3" s="1"/>
  <c r="Q54" i="1" s="1"/>
  <c r="BN310" i="3"/>
  <c r="L511" i="3" s="1"/>
  <c r="L562" i="3" s="1"/>
  <c r="L619" i="3" s="1"/>
  <c r="Q52" i="1" s="1"/>
  <c r="C227" i="2" l="1" a="1"/>
  <c r="C227" i="2" l="1"/>
  <c r="F259" i="2"/>
  <c r="F243" i="2"/>
  <c r="F257" i="2"/>
  <c r="C286" i="2" s="1"/>
  <c r="B315" i="2"/>
  <c r="D315" i="2" s="1"/>
  <c r="B27" i="7" s="1"/>
  <c r="F256" i="2"/>
  <c r="B11" i="2"/>
  <c r="B302" i="2"/>
  <c r="D34" i="7" s="1"/>
  <c r="F253" i="2"/>
  <c r="D285" i="2" s="1"/>
  <c r="E233" i="2"/>
  <c r="F233" i="2" s="1"/>
  <c r="F229" i="2" s="1"/>
  <c r="F249" i="2"/>
  <c r="D16" i="7" s="1"/>
  <c r="F262" i="2"/>
  <c r="C287" i="2" s="1"/>
  <c r="F237" i="2"/>
  <c r="B313" i="2"/>
  <c r="D313" i="2" s="1"/>
  <c r="B25" i="7" s="1"/>
  <c r="F251" i="2"/>
  <c r="E234" i="2"/>
  <c r="F232" i="2" s="1"/>
  <c r="B14" i="7" s="1"/>
  <c r="F238" i="2"/>
  <c r="B15" i="7" s="1"/>
  <c r="F260" i="2"/>
  <c r="B287" i="2" s="1"/>
  <c r="F241" i="2"/>
  <c r="D293" i="2" s="1"/>
  <c r="B316" i="2"/>
  <c r="D316" i="2" s="1"/>
  <c r="F254" i="2"/>
  <c r="F261" i="2"/>
  <c r="F252" i="2"/>
  <c r="C285" i="2" s="1"/>
  <c r="F240" i="2"/>
  <c r="F263" i="2"/>
  <c r="D287" i="2" s="1"/>
  <c r="F255" i="2"/>
  <c r="B286" i="2" s="1"/>
  <c r="F250" i="2"/>
  <c r="B285" i="2" s="1"/>
  <c r="F239" i="2"/>
  <c r="B16" i="7" s="1"/>
  <c r="B314" i="2"/>
  <c r="D314" i="2" s="1"/>
  <c r="B26" i="7" s="1"/>
  <c r="B317" i="2"/>
  <c r="D317" i="2" s="1"/>
  <c r="B29" i="7" s="1"/>
  <c r="F242" i="2"/>
  <c r="B293" i="2" s="1"/>
  <c r="B297" i="2" s="1"/>
  <c r="A34" i="7" s="1"/>
  <c r="F258" i="2"/>
  <c r="D286" i="2" s="1"/>
  <c r="B12" i="7" l="1"/>
  <c r="B288" i="2"/>
  <c r="C289" i="2"/>
  <c r="C288" i="2"/>
  <c r="D289" i="2"/>
  <c r="D288" i="2"/>
  <c r="B289" i="2"/>
  <c r="B28" i="7"/>
  <c r="F231" i="2"/>
  <c r="B13" i="7" s="1"/>
  <c r="B307" i="2"/>
  <c r="C293" i="2"/>
  <c r="B296" i="2" s="1"/>
  <c r="E288" i="2" l="1"/>
  <c r="D20" i="7" s="1"/>
  <c r="B21" i="7"/>
  <c r="A33" i="7"/>
  <c r="B306" i="2"/>
  <c r="C329" i="2"/>
  <c r="B20" i="7" l="1"/>
  <c r="B338" i="2"/>
  <c r="B340" i="2" l="1"/>
  <c r="I16" i="7" s="1"/>
  <c r="F9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<sst xmlns="http://schemas.openxmlformats.org/spreadsheetml/2006/main" count="3636" uniqueCount="1040">
  <si>
    <t>Neck Size</t>
  </si>
  <si>
    <t>Neck Sizes</t>
  </si>
  <si>
    <t>DN250</t>
  </si>
  <si>
    <t>DN355</t>
  </si>
  <si>
    <t>DN500</t>
  </si>
  <si>
    <t>Airflow Rate</t>
  </si>
  <si>
    <t>L/s</t>
  </si>
  <si>
    <t>VAV</t>
  </si>
  <si>
    <t>Pa</t>
  </si>
  <si>
    <t>ΔT (cooling)</t>
  </si>
  <si>
    <t>K</t>
  </si>
  <si>
    <t>Room Height</t>
  </si>
  <si>
    <t>m</t>
  </si>
  <si>
    <t>Input Values</t>
  </si>
  <si>
    <t>%</t>
  </si>
  <si>
    <t>mm</t>
  </si>
  <si>
    <t>dT (cooling)</t>
  </si>
  <si>
    <t>Inputs</t>
  </si>
  <si>
    <t>Spec Airflow Rate</t>
  </si>
  <si>
    <t>ADPI</t>
  </si>
  <si>
    <t>Sound Power Level</t>
  </si>
  <si>
    <t>Hmin</t>
  </si>
  <si>
    <t>Cmin</t>
  </si>
  <si>
    <t>Discharge Direction</t>
  </si>
  <si>
    <t>Flowrate @ MaxP</t>
  </si>
  <si>
    <t>V_turndown</t>
  </si>
  <si>
    <t>v_td=afr*vav</t>
  </si>
  <si>
    <t>SWL</t>
  </si>
  <si>
    <t>SPL</t>
  </si>
  <si>
    <t>Factor</t>
  </si>
  <si>
    <t>H_min</t>
  </si>
  <si>
    <t>heatingX</t>
  </si>
  <si>
    <t>heatingSlope</t>
  </si>
  <si>
    <t>heatingY</t>
  </si>
  <si>
    <t>dT_10L/s</t>
  </si>
  <si>
    <t>specVfactor</t>
  </si>
  <si>
    <t>dT_heating</t>
  </si>
  <si>
    <t>ΔT_max (heating)</t>
  </si>
  <si>
    <t>Cmax</t>
  </si>
  <si>
    <t>Specific Airflow Rate (heating)</t>
  </si>
  <si>
    <t>L/s/m2</t>
  </si>
  <si>
    <t>Sound Power Level (dBA)</t>
  </si>
  <si>
    <t>Sound Pressure Level (NC)</t>
  </si>
  <si>
    <t>H_min (m)</t>
  </si>
  <si>
    <t>C_min (m)</t>
  </si>
  <si>
    <t>C_max (m)</t>
  </si>
  <si>
    <t>Max Total Pressure (Pa)</t>
  </si>
  <si>
    <t>Min Airflow (L/s)</t>
  </si>
  <si>
    <t>Min Permissible % TD to</t>
  </si>
  <si>
    <t>Min P Airflow</t>
  </si>
  <si>
    <t>Max Permissible ΔT (heating) (K)</t>
  </si>
  <si>
    <t>Max Airflow</t>
  </si>
  <si>
    <t>Max Recommended Airflow (L/s)</t>
  </si>
  <si>
    <t xml:space="preserve">Max Recommended Airflow </t>
  </si>
  <si>
    <t>Min Airflow</t>
  </si>
  <si>
    <t>Min Permissible Airflow</t>
  </si>
  <si>
    <t>Min % turndown to</t>
  </si>
  <si>
    <t>Min Permissible % Turndown to</t>
  </si>
  <si>
    <r>
      <t xml:space="preserve">SMARTEMP </t>
    </r>
    <r>
      <rPr>
        <sz val="14"/>
        <color rgb="FFFF9900"/>
        <rFont val="Calibri"/>
        <family val="2"/>
        <scheme val="minor"/>
      </rPr>
      <t>PRODUCT SELECTION CALCULATOR</t>
    </r>
  </si>
  <si>
    <t xml:space="preserve">Key: </t>
  </si>
  <si>
    <t>Suitable</t>
  </si>
  <si>
    <t>Not Suitable</t>
  </si>
  <si>
    <t>4 Way</t>
  </si>
  <si>
    <t>3 Way</t>
  </si>
  <si>
    <t>Min % TD to</t>
  </si>
  <si>
    <t>Min % Airflow</t>
  </si>
  <si>
    <r>
      <t xml:space="preserve">ADPI </t>
    </r>
    <r>
      <rPr>
        <b/>
        <sz val="11"/>
        <color theme="1" tint="0.499984740745262"/>
        <rFont val="Calibri"/>
        <family val="2"/>
      </rPr>
      <t>≥</t>
    </r>
  </si>
  <si>
    <t>Premium comfort, sedentary activity, such as in auditoria.</t>
  </si>
  <si>
    <t>High comfort near-sedentary activity, such as in board rooms, high end offices and libraries.</t>
  </si>
  <si>
    <t>Good comfort near sedentary activity, such as open-plan offices and meeting rooms.</t>
  </si>
  <si>
    <t>Standard comfort medium activity, such as in transient spaces, retail and lobbies.</t>
  </si>
  <si>
    <t>Thermal Comfort Guide</t>
  </si>
  <si>
    <r>
      <t xml:space="preserve">ADPI </t>
    </r>
    <r>
      <rPr>
        <sz val="9"/>
        <color theme="1" tint="0.499984740745262"/>
        <rFont val="Calibri"/>
        <family val="2"/>
      </rPr>
      <t xml:space="preserve">≥ </t>
    </r>
    <r>
      <rPr>
        <b/>
        <sz val="9"/>
        <color theme="1" tint="0.499984740745262"/>
        <rFont val="Calibri"/>
        <family val="2"/>
      </rPr>
      <t>95%</t>
    </r>
    <r>
      <rPr>
        <sz val="9"/>
        <color theme="1" tint="0.499984740745262"/>
        <rFont val="Calibri"/>
        <family val="2"/>
      </rPr>
      <t xml:space="preserve">; ṽ ≤ </t>
    </r>
    <r>
      <rPr>
        <b/>
        <sz val="9"/>
        <color theme="1" tint="0.499984740745262"/>
        <rFont val="Calibri"/>
        <family val="2"/>
      </rPr>
      <t>0.20</t>
    </r>
    <r>
      <rPr>
        <sz val="9"/>
        <color theme="1" tint="0.499984740745262"/>
        <rFont val="Calibri"/>
        <family val="2"/>
      </rPr>
      <t xml:space="preserve"> m/s:</t>
    </r>
  </si>
  <si>
    <r>
      <t xml:space="preserve">ADPI </t>
    </r>
    <r>
      <rPr>
        <sz val="9"/>
        <color theme="1" tint="0.499984740745262"/>
        <rFont val="Calibri"/>
        <family val="2"/>
      </rPr>
      <t xml:space="preserve">≥ </t>
    </r>
    <r>
      <rPr>
        <b/>
        <sz val="9"/>
        <color theme="1" tint="0.499984740745262"/>
        <rFont val="Calibri"/>
        <family val="2"/>
      </rPr>
      <t>90%</t>
    </r>
    <r>
      <rPr>
        <sz val="9"/>
        <color theme="1" tint="0.499984740745262"/>
        <rFont val="Calibri"/>
        <family val="2"/>
      </rPr>
      <t xml:space="preserve">; ṽ ≤ </t>
    </r>
    <r>
      <rPr>
        <b/>
        <sz val="9"/>
        <color theme="1" tint="0.499984740745262"/>
        <rFont val="Calibri"/>
        <family val="2"/>
      </rPr>
      <t>0.25</t>
    </r>
    <r>
      <rPr>
        <sz val="9"/>
        <color theme="1" tint="0.499984740745262"/>
        <rFont val="Calibri"/>
        <family val="2"/>
      </rPr>
      <t xml:space="preserve"> m/s:</t>
    </r>
  </si>
  <si>
    <r>
      <t xml:space="preserve">ADPI </t>
    </r>
    <r>
      <rPr>
        <sz val="9"/>
        <color theme="1" tint="0.499984740745262"/>
        <rFont val="Calibri"/>
        <family val="2"/>
      </rPr>
      <t xml:space="preserve">≥ </t>
    </r>
    <r>
      <rPr>
        <b/>
        <sz val="9"/>
        <color theme="1" tint="0.499984740745262"/>
        <rFont val="Calibri"/>
        <family val="2"/>
      </rPr>
      <t>80%</t>
    </r>
    <r>
      <rPr>
        <sz val="9"/>
        <color theme="1" tint="0.499984740745262"/>
        <rFont val="Calibri"/>
        <family val="2"/>
      </rPr>
      <t xml:space="preserve">; ṽ ≤ </t>
    </r>
    <r>
      <rPr>
        <b/>
        <sz val="9"/>
        <color theme="1" tint="0.499984740745262"/>
        <rFont val="Calibri"/>
        <family val="2"/>
      </rPr>
      <t>0.29</t>
    </r>
    <r>
      <rPr>
        <sz val="9"/>
        <color theme="1" tint="0.499984740745262"/>
        <rFont val="Calibri"/>
        <family val="2"/>
      </rPr>
      <t xml:space="preserve"> m/s:</t>
    </r>
  </si>
  <si>
    <r>
      <t xml:space="preserve">ADPI </t>
    </r>
    <r>
      <rPr>
        <sz val="9"/>
        <color theme="1" tint="0.499984740745262"/>
        <rFont val="Calibri"/>
        <family val="2"/>
      </rPr>
      <t xml:space="preserve">≥ </t>
    </r>
    <r>
      <rPr>
        <b/>
        <sz val="9"/>
        <color theme="1" tint="0.499984740745262"/>
        <rFont val="Calibri"/>
        <family val="2"/>
      </rPr>
      <t>70%</t>
    </r>
    <r>
      <rPr>
        <sz val="9"/>
        <color theme="1" tint="0.499984740745262"/>
        <rFont val="Calibri"/>
        <family val="2"/>
      </rPr>
      <t xml:space="preserve">; ṽ ≤ </t>
    </r>
    <r>
      <rPr>
        <b/>
        <sz val="9"/>
        <color theme="1" tint="0.499984740745262"/>
        <rFont val="Calibri"/>
        <family val="2"/>
      </rPr>
      <t>0.33</t>
    </r>
    <r>
      <rPr>
        <sz val="9"/>
        <color theme="1" tint="0.499984740745262"/>
        <rFont val="Calibri"/>
        <family val="2"/>
      </rPr>
      <t xml:space="preserve"> m/s:</t>
    </r>
  </si>
  <si>
    <t>Low level return</t>
  </si>
  <si>
    <t>freely suspended</t>
  </si>
  <si>
    <t>Low Level Return</t>
  </si>
  <si>
    <t>0% to 100% (default 0%)</t>
  </si>
  <si>
    <t>Free Susp (Hmin)</t>
  </si>
  <si>
    <t>Free Susp (heat)</t>
  </si>
  <si>
    <t>Closed Ceiling</t>
  </si>
  <si>
    <t>free susp</t>
  </si>
  <si>
    <t>% Low Level Return (heating)</t>
  </si>
  <si>
    <t>VAV (turndown to)</t>
  </si>
  <si>
    <t>Warning</t>
  </si>
  <si>
    <t>Diffuser Height</t>
  </si>
  <si>
    <t>ΔT -ve denotes cooling</t>
  </si>
  <si>
    <t>Max and Min Centreline Distance is to be halved for spacing to walls or glazing.</t>
  </si>
  <si>
    <t>ΔT +ve denotes heating</t>
  </si>
  <si>
    <t>Airflow</t>
  </si>
  <si>
    <t>DN</t>
  </si>
  <si>
    <t>Draft Rating</t>
  </si>
  <si>
    <r>
      <t>°</t>
    </r>
    <r>
      <rPr>
        <sz val="8.8000000000000007"/>
        <color theme="1" tint="0.34998626667073579"/>
        <rFont val="Calibri"/>
        <family val="2"/>
      </rPr>
      <t>C</t>
    </r>
  </si>
  <si>
    <t>Room Temp</t>
  </si>
  <si>
    <t>C</t>
  </si>
  <si>
    <t>V</t>
  </si>
  <si>
    <t>Local Velocity</t>
  </si>
  <si>
    <t>Order Code</t>
  </si>
  <si>
    <r>
      <t>2 Way (2</t>
    </r>
    <r>
      <rPr>
        <sz val="11"/>
        <color theme="1"/>
        <rFont val="Calibri"/>
        <family val="2"/>
      </rPr>
      <t>×90°)</t>
    </r>
  </si>
  <si>
    <t>2 Way (1×180°)</t>
  </si>
  <si>
    <t>Code Generator</t>
  </si>
  <si>
    <t>Model</t>
  </si>
  <si>
    <t>Size</t>
  </si>
  <si>
    <t>Colour</t>
  </si>
  <si>
    <t>* indicates standard/default option</t>
  </si>
  <si>
    <t>RAL9003* (signal white)</t>
  </si>
  <si>
    <t>RAL9005 (jet black)</t>
  </si>
  <si>
    <t>other</t>
  </si>
  <si>
    <t>Discharge</t>
  </si>
  <si>
    <t>4w</t>
  </si>
  <si>
    <t>3w</t>
  </si>
  <si>
    <t>2s</t>
  </si>
  <si>
    <t>2a</t>
  </si>
  <si>
    <t>Room Temperature (draught rating)</t>
  </si>
  <si>
    <r>
      <t>2 to 10 L/s/m</t>
    </r>
    <r>
      <rPr>
        <vertAlign val="superscript"/>
        <sz val="11"/>
        <color theme="0"/>
        <rFont val="Calibri"/>
        <family val="2"/>
        <scheme val="minor"/>
      </rPr>
      <t xml:space="preserve">2 </t>
    </r>
    <r>
      <rPr>
        <sz val="11"/>
        <color theme="0"/>
        <rFont val="Calibri"/>
        <family val="2"/>
        <scheme val="minor"/>
      </rPr>
      <t>(default 5 L/s/m</t>
    </r>
    <r>
      <rPr>
        <vertAlign val="superscript"/>
        <sz val="11"/>
        <color theme="0"/>
        <rFont val="Calibri"/>
        <family val="2"/>
        <scheme val="minor"/>
      </rPr>
      <t>2</t>
    </r>
    <r>
      <rPr>
        <sz val="11"/>
        <color theme="0"/>
        <rFont val="Calibri"/>
        <family val="2"/>
        <scheme val="minor"/>
      </rPr>
      <t>)</t>
    </r>
  </si>
  <si>
    <t>DR</t>
  </si>
  <si>
    <t>Q''</t>
  </si>
  <si>
    <t>W/m2</t>
  </si>
  <si>
    <t>m/s</t>
  </si>
  <si>
    <t>Draught Rating</t>
  </si>
  <si>
    <t>manual diffuser dist</t>
  </si>
  <si>
    <t>Room height</t>
  </si>
  <si>
    <r>
      <t xml:space="preserve">default </t>
    </r>
    <r>
      <rPr>
        <sz val="11"/>
        <color theme="0" tint="-0.499984740745262"/>
        <rFont val="Calibri"/>
        <family val="2"/>
      </rPr>
      <t xml:space="preserve">≥ </t>
    </r>
    <r>
      <rPr>
        <sz val="11"/>
        <color theme="0" tint="-0.499984740745262"/>
        <rFont val="Calibri"/>
        <family val="2"/>
        <scheme val="minor"/>
      </rPr>
      <t>90%</t>
    </r>
  </si>
  <si>
    <t>PPD</t>
  </si>
  <si>
    <t>V''</t>
  </si>
  <si>
    <t>Draught Rating &amp; Heating</t>
  </si>
  <si>
    <t>OR</t>
  </si>
  <si>
    <t>Diffuser dist setting</t>
  </si>
  <si>
    <t>4 Way (360°)</t>
  </si>
  <si>
    <t>3 Way (270°)</t>
  </si>
  <si>
    <t>20 °C to 26 °C (default 23 °C)</t>
  </si>
  <si>
    <t>PPD class</t>
  </si>
  <si>
    <t>Mean Draught Rating (DR)</t>
  </si>
  <si>
    <t>Mean PPD</t>
  </si>
  <si>
    <t>Min Permissible Diffuser Height [m]</t>
  </si>
  <si>
    <t>Min Centreline Distance [m]</t>
  </si>
  <si>
    <t>Mean Room Air Velocity [m/s]</t>
  </si>
  <si>
    <t>air velocity</t>
  </si>
  <si>
    <t>Specific Airflow Rate</t>
  </si>
  <si>
    <t>click to see product on smartair.asia</t>
  </si>
  <si>
    <t>Satisfies PPD Category (ISO7730)</t>
  </si>
  <si>
    <t>Spec Airflow Rate for heating</t>
  </si>
  <si>
    <t>perforated plate</t>
  </si>
  <si>
    <r>
      <t xml:space="preserve">m     </t>
    </r>
    <r>
      <rPr>
        <sz val="11"/>
        <color theme="0" tint="-0.34998626667073579"/>
        <rFont val="Calibri"/>
        <family val="2"/>
        <scheme val="minor"/>
      </rPr>
      <t>2 to 5 m</t>
    </r>
  </si>
  <si>
    <t>Vmin</t>
  </si>
  <si>
    <t>`</t>
  </si>
  <si>
    <t>Units</t>
  </si>
  <si>
    <t>Unit Type</t>
  </si>
  <si>
    <t>Unit Multiplier</t>
  </si>
  <si>
    <t>max spec fr</t>
  </si>
  <si>
    <t>Summary</t>
  </si>
  <si>
    <t>Diagram</t>
  </si>
  <si>
    <t>Comfort Performance</t>
  </si>
  <si>
    <t>Description</t>
  </si>
  <si>
    <t>Acoustic Performance</t>
  </si>
  <si>
    <t>dB(A)</t>
  </si>
  <si>
    <t>Project</t>
  </si>
  <si>
    <t>Company</t>
  </si>
  <si>
    <t>&lt;Name&gt;</t>
  </si>
  <si>
    <t>Product</t>
  </si>
  <si>
    <t>Diffuser Location</t>
  </si>
  <si>
    <t>NC</t>
  </si>
  <si>
    <t>Project:</t>
  </si>
  <si>
    <t>Selected Airflow</t>
  </si>
  <si>
    <t>Product Selection &amp; Code Generator</t>
  </si>
  <si>
    <t>&lt;Project Name&gt;</t>
  </si>
  <si>
    <t>Ax</t>
  </si>
  <si>
    <t>^b</t>
  </si>
  <si>
    <t>Static Pressure</t>
  </si>
  <si>
    <t>Static Pressure @ 100% Airflow [Pa]</t>
  </si>
  <si>
    <t>Spigot</t>
  </si>
  <si>
    <t>Pd</t>
  </si>
  <si>
    <t>Selection</t>
  </si>
  <si>
    <t>Spigot Height</t>
  </si>
  <si>
    <t>Spigot Width</t>
  </si>
  <si>
    <t>DN150</t>
  </si>
  <si>
    <t>DN200</t>
  </si>
  <si>
    <t>DN300</t>
  </si>
  <si>
    <t>DN350</t>
  </si>
  <si>
    <t>DN400</t>
  </si>
  <si>
    <t>Ovalised Spigot</t>
  </si>
  <si>
    <t>Spigot End Radius</t>
  </si>
  <si>
    <t>Spigot Diameter</t>
  </si>
  <si>
    <t>Round Spigot</t>
  </si>
  <si>
    <t>ASNZ nominal sizes</t>
  </si>
  <si>
    <r>
      <t>H</t>
    </r>
    <r>
      <rPr>
        <b/>
        <vertAlign val="subscript"/>
        <sz val="12"/>
        <color theme="1"/>
        <rFont val="Calibri"/>
        <family val="2"/>
        <scheme val="minor"/>
      </rPr>
      <t>1</t>
    </r>
  </si>
  <si>
    <t>ALL DIMENSIONS IN mm</t>
  </si>
  <si>
    <t>Sound Power Level ¹</t>
  </si>
  <si>
    <t>^ based on 10dB room absorption</t>
  </si>
  <si>
    <t>Vmax</t>
  </si>
  <si>
    <t>Free susp (Cmin)</t>
  </si>
  <si>
    <t>Free Susp (Cmax)</t>
  </si>
  <si>
    <r>
      <t>Freely Suspended (</t>
    </r>
    <r>
      <rPr>
        <b/>
        <sz val="11"/>
        <color theme="1" tint="0.499984740745262"/>
        <rFont val="Calibri"/>
        <family val="2"/>
      </rPr>
      <t>≥ 600 mm below ceiling)</t>
    </r>
  </si>
  <si>
    <t xml:space="preserve">Max ΔT (heating) - Perimeter [K] </t>
  </si>
  <si>
    <t xml:space="preserve">Max ΔT (heating) - Centre Zone [K] </t>
  </si>
  <si>
    <t>ΔT_max centre</t>
  </si>
  <si>
    <t>PMV</t>
  </si>
  <si>
    <t>adpi</t>
  </si>
  <si>
    <t>v' @Vmax</t>
  </si>
  <si>
    <t>v' @ Vmin</t>
  </si>
  <si>
    <t>Target Q''</t>
  </si>
  <si>
    <t>H</t>
  </si>
  <si>
    <t>ax</t>
  </si>
  <si>
    <t>v' &amp; Vmax</t>
  </si>
  <si>
    <t>v' &amp; Vmin</t>
  </si>
  <si>
    <t>v'</t>
  </si>
  <si>
    <t>at ADPI</t>
  </si>
  <si>
    <t>H Factor</t>
  </si>
  <si>
    <t>Hfactor @ Vmax</t>
  </si>
  <si>
    <t>Hfactor @ Vmin</t>
  </si>
  <si>
    <t>Shading Rules</t>
  </si>
  <si>
    <t>Cmin Table</t>
  </si>
  <si>
    <t>Heating</t>
  </si>
  <si>
    <t>Distance Selection</t>
  </si>
  <si>
    <t>factor * room height</t>
  </si>
  <si>
    <t>velocity adjustment</t>
  </si>
  <si>
    <t>Q'' (adjusted)</t>
  </si>
  <si>
    <t>v'' correction factor</t>
  </si>
  <si>
    <t>v'' (adjusted)</t>
  </si>
  <si>
    <t>v'' +correction factor</t>
  </si>
  <si>
    <t>Global Distances</t>
  </si>
  <si>
    <t>Specified Specific Flowrate</t>
  </si>
  <si>
    <t>Case 2 v''</t>
  </si>
  <si>
    <t>Case 1 Avg v''</t>
  </si>
  <si>
    <t>Total Avg</t>
  </si>
  <si>
    <t>Collated Results</t>
  </si>
  <si>
    <t>dT_heating Centre</t>
  </si>
  <si>
    <t>H_min_90</t>
  </si>
  <si>
    <t xml:space="preserve">PMV </t>
  </si>
  <si>
    <t>Velocity</t>
  </si>
  <si>
    <t>Final Result Size Selection</t>
  </si>
  <si>
    <t>C select</t>
  </si>
  <si>
    <t>C Selected</t>
  </si>
  <si>
    <t>Max Static Pressure</t>
  </si>
  <si>
    <t>true = red</t>
  </si>
  <si>
    <t>true = gray</t>
  </si>
  <si>
    <t>High Pressure/Flow</t>
  </si>
  <si>
    <t>true=red</t>
  </si>
  <si>
    <t>Min Flow</t>
  </si>
  <si>
    <t>Gray Column</t>
  </si>
  <si>
    <t>Max Heating ΔT (Centre Zone)</t>
  </si>
  <si>
    <t>TEXT</t>
  </si>
  <si>
    <t>Sound Pressure Level ^¹</t>
  </si>
  <si>
    <t>Max Heating ΔT (Perimeter Zone)</t>
  </si>
  <si>
    <t>Top Box 1</t>
  </si>
  <si>
    <t>box 2</t>
  </si>
  <si>
    <t>box 3</t>
  </si>
  <si>
    <t>room box</t>
  </si>
  <si>
    <t xml:space="preserve">Mean Room Air Velocity </t>
  </si>
  <si>
    <t>Face Shape</t>
  </si>
  <si>
    <t>S595</t>
  </si>
  <si>
    <t>Shape</t>
  </si>
  <si>
    <t>Box</t>
  </si>
  <si>
    <t>Connection Box</t>
  </si>
  <si>
    <t>□○</t>
  </si>
  <si>
    <t>□ 595 mm square face</t>
  </si>
  <si>
    <t>ø</t>
  </si>
  <si>
    <t>Standard</t>
  </si>
  <si>
    <t>N/A</t>
  </si>
  <si>
    <t>Min Selected Airflow</t>
  </si>
  <si>
    <t>Draught Rating (DR)</t>
  </si>
  <si>
    <r>
      <t xml:space="preserve">K      </t>
    </r>
    <r>
      <rPr>
        <sz val="11"/>
        <color theme="0" tint="-0.34998626667073579"/>
        <rFont val="Calibri"/>
        <family val="2"/>
        <scheme val="minor"/>
      </rPr>
      <t>-8 to -16 K (default -12 K)</t>
    </r>
  </si>
  <si>
    <t>use -8 K for 0 K to -8 K</t>
  </si>
  <si>
    <t xml:space="preserve">dT (cooling) </t>
  </si>
  <si>
    <t>for @ velocity use '-8' for values 0  and -8 K</t>
  </si>
  <si>
    <t>&lt;face&gt;</t>
  </si>
  <si>
    <t>[Pa]</t>
  </si>
  <si>
    <t>[dB(A)]</t>
  </si>
  <si>
    <t>[NC]</t>
  </si>
  <si>
    <t>[K]</t>
  </si>
  <si>
    <t>[m]</t>
  </si>
  <si>
    <t>[m/s]</t>
  </si>
  <si>
    <t>[mm]</t>
  </si>
  <si>
    <t>Selected Min Airflow (Turndown To)</t>
  </si>
  <si>
    <t>Selected Turndown to %</t>
  </si>
  <si>
    <t>Mean Room Air Velocity</t>
  </si>
  <si>
    <t>Mean Draught Rating</t>
  </si>
  <si>
    <t>Satisfies PPD Category</t>
  </si>
  <si>
    <t>ISO7733</t>
  </si>
  <si>
    <t>|PMV|</t>
  </si>
  <si>
    <t>ISO7730; ASHRAE Std 55</t>
  </si>
  <si>
    <t>Min Recommended Diffuser Height</t>
  </si>
  <si>
    <t>- see cell M9</t>
  </si>
  <si>
    <t xml:space="preserve">Min Permissible Airflow </t>
  </si>
  <si>
    <t>Converted Flowrate</t>
  </si>
  <si>
    <t>Cmax-Centre Zone Table</t>
  </si>
  <si>
    <t>Centre Zone</t>
  </si>
  <si>
    <t>Cmax (centre)</t>
  </si>
  <si>
    <t>Cmax (perimeter)</t>
  </si>
  <si>
    <t>2-Way 180 deg</t>
  </si>
  <si>
    <t>Max Recommended Heating ΔT (Centre Zone)</t>
  </si>
  <si>
    <t>Max Recommended Heating ΔT (Perimeter)</t>
  </si>
  <si>
    <t>ΔT_max (heating) perimeter</t>
  </si>
  <si>
    <t>Cmax (Perimeter)</t>
  </si>
  <si>
    <t>Cmax (Centre)</t>
  </si>
  <si>
    <t>v'@ V</t>
  </si>
  <si>
    <t>R min</t>
  </si>
  <si>
    <t xml:space="preserve">Airflow Rate - Converted </t>
  </si>
  <si>
    <t>Input Pre Calcs</t>
  </si>
  <si>
    <t>R_max_roomheight</t>
  </si>
  <si>
    <t>R multiplier</t>
  </si>
  <si>
    <t>ALL SHADED</t>
  </si>
  <si>
    <t>Area multiplier</t>
  </si>
  <si>
    <t>Ceiling or Free</t>
  </si>
  <si>
    <t>(1 = ceiling; 2 = free)</t>
  </si>
  <si>
    <t>please select a valid face shape</t>
  </si>
  <si>
    <t>custom face size (contact Smartair)</t>
  </si>
  <si>
    <t>Coverage Min</t>
  </si>
  <si>
    <t>R to Coverage Conversion</t>
  </si>
  <si>
    <t>Min Coverage 'Cmin'</t>
  </si>
  <si>
    <t>Distances 
&amp; 
Layout</t>
  </si>
  <si>
    <t>Comfort</t>
  </si>
  <si>
    <t>Detailed Selection</t>
  </si>
  <si>
    <t xml:space="preserve"> Average Diffuser Coverage (Rows 50-52)</t>
  </si>
  <si>
    <t>Manual Coverage Distance</t>
  </si>
  <si>
    <t>Area multiplier from C</t>
  </si>
  <si>
    <t>A= M*R^2</t>
  </si>
  <si>
    <t>A= M * C^2</t>
  </si>
  <si>
    <t>COVERAGE AND RADIUS - multipliers (discharge patttern)</t>
  </si>
  <si>
    <t>for installations adjacent to wall</t>
  </si>
  <si>
    <t>for installation in corners</t>
  </si>
  <si>
    <t>for installation in hallways and corridors</t>
  </si>
  <si>
    <t xml:space="preserve"> [m³/h]</t>
  </si>
  <si>
    <t>[L/s]</t>
  </si>
  <si>
    <t>Max Coverage 'Cmax' (for Centre Zones)</t>
  </si>
  <si>
    <t>Max Coverage 'Cmax' (for Perimeter Zones)</t>
  </si>
  <si>
    <t>ADPI display</t>
  </si>
  <si>
    <t>Selected ADPI Target</t>
  </si>
  <si>
    <t>Client</t>
  </si>
  <si>
    <t>Max Centreline Distance Perimeter [m]</t>
  </si>
  <si>
    <t>V'' for heating</t>
  </si>
  <si>
    <t>v" unit converted for display</t>
  </si>
  <si>
    <t>D0</t>
  </si>
  <si>
    <t>D1</t>
  </si>
  <si>
    <t>Spigot Dia</t>
  </si>
  <si>
    <t>Cmax Constants</t>
  </si>
  <si>
    <t>f_TD</t>
  </si>
  <si>
    <t>TD</t>
  </si>
  <si>
    <t>Absolute Min</t>
  </si>
  <si>
    <t>f_Pressure</t>
  </si>
  <si>
    <t>Pressure</t>
  </si>
  <si>
    <t>Acoustic</t>
  </si>
  <si>
    <t>Specific Flow Rate</t>
  </si>
  <si>
    <t>Perimeter</t>
  </si>
  <si>
    <t>(equiv. FD min)</t>
  </si>
  <si>
    <t>Centre</t>
  </si>
  <si>
    <t>v' (selected)</t>
  </si>
  <si>
    <t>v" Centre Zone</t>
  </si>
  <si>
    <t>v" Perimeter Zone</t>
  </si>
  <si>
    <t>v' (L/s/m2) @ -12</t>
  </si>
  <si>
    <t>Damper Positions</t>
  </si>
  <si>
    <t>D2</t>
  </si>
  <si>
    <t>D3</t>
  </si>
  <si>
    <t>D4</t>
  </si>
  <si>
    <t>D5</t>
  </si>
  <si>
    <t>HSC-VS-DN355-D0</t>
  </si>
  <si>
    <t>Turndown To</t>
  </si>
  <si>
    <t>Use Turndown %</t>
  </si>
  <si>
    <t>Use Turndown L/s</t>
  </si>
  <si>
    <r>
      <rPr>
        <sz val="11"/>
        <color theme="1"/>
        <rFont val="Calibri"/>
        <family val="2"/>
      </rPr>
      <t>Δ</t>
    </r>
    <r>
      <rPr>
        <sz val="12.65"/>
        <color theme="1"/>
        <rFont val="Calibri"/>
        <family val="2"/>
      </rPr>
      <t>T</t>
    </r>
  </si>
  <si>
    <t>HSC-FD-DN355-R0</t>
  </si>
  <si>
    <t>Select v' for Cmax</t>
  </si>
  <si>
    <t>f_TD (Sliding Scale)</t>
  </si>
  <si>
    <t>f_P (Sliding Scale)</t>
  </si>
  <si>
    <t>HSC-VS</t>
  </si>
  <si>
    <t>factor (TD)</t>
  </si>
  <si>
    <t>factor (P)</t>
  </si>
  <si>
    <t>v' perimeter</t>
  </si>
  <si>
    <t>datum v' equivalent to HSC-FD</t>
  </si>
  <si>
    <t>actual v' perim</t>
  </si>
  <si>
    <t>v' centre</t>
  </si>
  <si>
    <t>actual v' centre</t>
  </si>
  <si>
    <t>Results Table for 2.7m</t>
  </si>
  <si>
    <t>Turndown (L/s)</t>
  </si>
  <si>
    <t>v' (L/s/m2)</t>
  </si>
  <si>
    <r>
      <t>HSC-</t>
    </r>
    <r>
      <rPr>
        <b/>
        <sz val="12"/>
        <color theme="5"/>
        <rFont val="Calibri"/>
        <family val="2"/>
        <scheme val="minor"/>
      </rPr>
      <t>VS</t>
    </r>
    <r>
      <rPr>
        <b/>
        <sz val="12"/>
        <color theme="1"/>
        <rFont val="Calibri"/>
        <family val="2"/>
        <scheme val="minor"/>
      </rPr>
      <t xml:space="preserve"> Centre</t>
    </r>
  </si>
  <si>
    <r>
      <t>HSC-</t>
    </r>
    <r>
      <rPr>
        <b/>
        <sz val="12"/>
        <color theme="9"/>
        <rFont val="Calibri"/>
        <family val="2"/>
        <scheme val="minor"/>
      </rPr>
      <t>FD</t>
    </r>
    <r>
      <rPr>
        <b/>
        <sz val="12"/>
        <color theme="1"/>
        <rFont val="Calibri"/>
        <family val="2"/>
        <scheme val="minor"/>
      </rPr>
      <t xml:space="preserve"> Centre</t>
    </r>
  </si>
  <si>
    <t>Vmin option</t>
  </si>
  <si>
    <t>HSC-FD</t>
  </si>
  <si>
    <t>Cmax Table Perimeter</t>
  </si>
  <si>
    <t>Cmax Centre Zone</t>
  </si>
  <si>
    <t>TD %</t>
  </si>
  <si>
    <t>ADPI FACTORS of 90%</t>
  </si>
  <si>
    <t>F'</t>
  </si>
  <si>
    <t>Vmin (check)</t>
  </si>
  <si>
    <t>Vtd</t>
  </si>
  <si>
    <t>HSC-VS Perimeter</t>
  </si>
  <si>
    <t>HSC-FD Perimeter</t>
  </si>
  <si>
    <t>VS v' (L/s/m2)</t>
  </si>
  <si>
    <t>@-12K</t>
  </si>
  <si>
    <t>SWL at 100% Fully Open</t>
  </si>
  <si>
    <t>SWL at TD @ Design P</t>
  </si>
  <si>
    <t>SWL at TD @ Pres*Factor</t>
  </si>
  <si>
    <t>factor that we expect the pressure to increase by when turned down</t>
  </si>
  <si>
    <t>Acoustic Pressure Factor???</t>
  </si>
  <si>
    <t>200mm Ultra-Low Profile Box</t>
  </si>
  <si>
    <t>Nominal Spigot Diameter</t>
  </si>
  <si>
    <t xml:space="preserve">Spigot Size </t>
  </si>
  <si>
    <t>D6</t>
  </si>
  <si>
    <t>Data</t>
  </si>
  <si>
    <t>Cmax-Perimeter Zone Table</t>
  </si>
  <si>
    <t>select</t>
  </si>
  <si>
    <t>R max from v"</t>
  </si>
  <si>
    <t>Perimeter Zone Cmax</t>
  </si>
  <si>
    <t>Coverage</t>
  </si>
  <si>
    <t>Box/Perf Pressure Loss</t>
  </si>
  <si>
    <t>Coefficient</t>
  </si>
  <si>
    <t>Pressure Loss</t>
  </si>
  <si>
    <t>Loss vs Box/Board Pressure</t>
  </si>
  <si>
    <t>data.Pboard</t>
  </si>
  <si>
    <t>Large</t>
  </si>
  <si>
    <t>Small</t>
  </si>
  <si>
    <t>Y/N</t>
  </si>
  <si>
    <t>D7</t>
  </si>
  <si>
    <t>D8</t>
  </si>
  <si>
    <t>D9</t>
  </si>
  <si>
    <t>D10</t>
  </si>
  <si>
    <t>V_theo</t>
  </si>
  <si>
    <t>Select</t>
  </si>
  <si>
    <t>L</t>
  </si>
  <si>
    <t>S</t>
  </si>
  <si>
    <t>I</t>
  </si>
  <si>
    <t>Theoretical Flow Rates</t>
  </si>
  <si>
    <t>Data and Configuration</t>
  </si>
  <si>
    <t>Loss</t>
  </si>
  <si>
    <t>Adj.Flowrate</t>
  </si>
  <si>
    <t>Spigot Selection Vari-Swirl</t>
  </si>
  <si>
    <t>Standard Box 250</t>
  </si>
  <si>
    <t>Coverage max NEW</t>
  </si>
  <si>
    <t>Turndown Flowrate</t>
  </si>
  <si>
    <t>Syntax &amp; Format</t>
  </si>
  <si>
    <t>Front Page Notes</t>
  </si>
  <si>
    <t>4w/3w/2w</t>
  </si>
  <si>
    <t>SWL A</t>
  </si>
  <si>
    <t>SWL B</t>
  </si>
  <si>
    <t>SWL Adjustment from D0</t>
  </si>
  <si>
    <t>Ax^2</t>
  </si>
  <si>
    <t>Bx</t>
  </si>
  <si>
    <t>Ultra-Low</t>
  </si>
  <si>
    <t>Box Details</t>
  </si>
  <si>
    <t>Cmax Centre &lt; Cmin</t>
  </si>
  <si>
    <t>Cmax Perimeter &lt; Cmin</t>
  </si>
  <si>
    <t>C min &gt; Cmax</t>
  </si>
  <si>
    <t>Cmax Centre vs C select</t>
  </si>
  <si>
    <t>Cmax Perim vs C Select</t>
  </si>
  <si>
    <t>Cmin vs C Select</t>
  </si>
  <si>
    <t>Max Centreline Distance (centre) [m]</t>
  </si>
  <si>
    <t>shade for any time Cmax &lt; C min</t>
  </si>
  <si>
    <t>shade for any time Cmin &gt; Cmax</t>
  </si>
  <si>
    <t xml:space="preserve">shade for any time valid cells: C select &gt; Cmax </t>
  </si>
  <si>
    <t>shade for any time valid cells: C select &lt; Cmin</t>
  </si>
  <si>
    <t>Cmax centre vs selected</t>
  </si>
  <si>
    <t>Cmax perim vs selected</t>
  </si>
  <si>
    <t>Cmin vs selected</t>
  </si>
  <si>
    <t>250mm box spigot</t>
  </si>
  <si>
    <t>false = doesn't exist</t>
  </si>
  <si>
    <t>4w basket Flowrate</t>
  </si>
  <si>
    <t>SWL Adjustment from D1</t>
  </si>
  <si>
    <t>SWL Adjustment from D2</t>
  </si>
  <si>
    <t>SWL Adjustment from D3</t>
  </si>
  <si>
    <t>SWL Adjustment from D4</t>
  </si>
  <si>
    <t>SWL Adjustment from D5</t>
  </si>
  <si>
    <t>SWL Adjustment from D6</t>
  </si>
  <si>
    <t>SWL Adjustment from D7</t>
  </si>
  <si>
    <t>SWL Adjustment from D8</t>
  </si>
  <si>
    <t>SWL Adjustment from D9</t>
  </si>
  <si>
    <t>SWL Adjustment from D10</t>
  </si>
  <si>
    <t>Face Loss Coefficients</t>
  </si>
  <si>
    <t>a</t>
  </si>
  <si>
    <t>b</t>
  </si>
  <si>
    <t>c</t>
  </si>
  <si>
    <t>lim</t>
  </si>
  <si>
    <t>v^2</t>
  </si>
  <si>
    <t>v^1</t>
  </si>
  <si>
    <t>Limit where face has no effect</t>
  </si>
  <si>
    <t>SPL Adj</t>
  </si>
  <si>
    <t>SWL Adj</t>
  </si>
  <si>
    <t>200mm box Spigot D</t>
  </si>
  <si>
    <t>Ultra-Low Box 200 ???</t>
  </si>
  <si>
    <t>Spigot Area (reduced)</t>
  </si>
  <si>
    <t>Box Height</t>
  </si>
  <si>
    <r>
      <t>H</t>
    </r>
    <r>
      <rPr>
        <b/>
        <vertAlign val="subscript"/>
        <sz val="12"/>
        <color theme="1"/>
        <rFont val="Calibri"/>
        <family val="2"/>
        <scheme val="minor"/>
      </rPr>
      <t>3</t>
    </r>
  </si>
  <si>
    <r>
      <t>Ø</t>
    </r>
    <r>
      <rPr>
        <b/>
        <vertAlign val="subscript"/>
        <sz val="12"/>
        <color theme="1"/>
        <rFont val="Calibri"/>
        <family val="2"/>
        <scheme val="minor"/>
      </rPr>
      <t>1</t>
    </r>
  </si>
  <si>
    <r>
      <t>R</t>
    </r>
    <r>
      <rPr>
        <b/>
        <vertAlign val="subscript"/>
        <sz val="12"/>
        <color theme="1"/>
        <rFont val="Calibri"/>
        <family val="2"/>
        <scheme val="minor"/>
      </rPr>
      <t>2</t>
    </r>
  </si>
  <si>
    <r>
      <t>L</t>
    </r>
    <r>
      <rPr>
        <b/>
        <vertAlign val="subscript"/>
        <sz val="12"/>
        <color theme="1"/>
        <rFont val="Calibri"/>
        <family val="2"/>
        <scheme val="minor"/>
      </rPr>
      <t>1</t>
    </r>
  </si>
  <si>
    <t>Spigot Clearance</t>
  </si>
  <si>
    <r>
      <t>H</t>
    </r>
    <r>
      <rPr>
        <b/>
        <vertAlign val="subscript"/>
        <sz val="12"/>
        <color theme="1"/>
        <rFont val="Calibri"/>
        <family val="2"/>
        <scheme val="minor"/>
      </rPr>
      <t>2</t>
    </r>
  </si>
  <si>
    <t>200 mm Ultra Low Profile Plenum Box</t>
  </si>
  <si>
    <t>250 mm Low Profile Plenum Box</t>
  </si>
  <si>
    <t>300 mm High Profile Plenum Box</t>
  </si>
  <si>
    <t>400 mm High Profile Plenum Box</t>
  </si>
  <si>
    <t>Max Airflow @ 
3.0 m/s Effective Spigot  Velocity [L/s]</t>
  </si>
  <si>
    <t>Max Spigot Velocity</t>
  </si>
  <si>
    <r>
      <t>Spigot Area [m</t>
    </r>
    <r>
      <rPr>
        <vertAlign val="superscript"/>
        <sz val="12"/>
        <color theme="1"/>
        <rFont val="Calibri"/>
        <family val="2"/>
        <scheme val="minor"/>
      </rPr>
      <t>2</t>
    </r>
    <r>
      <rPr>
        <sz val="12"/>
        <color theme="1"/>
        <rFont val="Calibri"/>
        <family val="2"/>
        <scheme val="minor"/>
      </rPr>
      <t>]</t>
    </r>
  </si>
  <si>
    <t>Door Setting</t>
  </si>
  <si>
    <t>Radio Selection</t>
  </si>
  <si>
    <t>Box Type</t>
  </si>
  <si>
    <t>Code</t>
  </si>
  <si>
    <t>Spigot Table</t>
  </si>
  <si>
    <t>Selection Text</t>
  </si>
  <si>
    <t>Comment</t>
  </si>
  <si>
    <t>SMARTEMP HSC-VS-</t>
  </si>
  <si>
    <t>VOC</t>
  </si>
  <si>
    <t>PIR</t>
  </si>
  <si>
    <t>IAQ</t>
  </si>
  <si>
    <t>(summary)</t>
  </si>
  <si>
    <t>Summary sentence</t>
  </si>
  <si>
    <t>With newline char and formatting</t>
  </si>
  <si>
    <t>FOR DISPLAY</t>
  </si>
  <si>
    <t>Diffuser Setup</t>
  </si>
  <si>
    <t>Aux</t>
  </si>
  <si>
    <t>•</t>
  </si>
  <si>
    <t>HSC-VS Performance Calculator Summary</t>
  </si>
  <si>
    <t>Electronic Vari-Swirl Diffuser</t>
  </si>
  <si>
    <t>Door</t>
  </si>
  <si>
    <t>Selection?</t>
  </si>
  <si>
    <t>Selected Turndown to</t>
  </si>
  <si>
    <t xml:space="preserve"> </t>
  </si>
  <si>
    <t>ΔT</t>
  </si>
  <si>
    <t>Selection &amp; Input Values</t>
  </si>
  <si>
    <r>
      <t>H</t>
    </r>
    <r>
      <rPr>
        <b/>
        <vertAlign val="subscript"/>
        <sz val="12"/>
        <color theme="1"/>
        <rFont val="Calibri"/>
        <family val="2"/>
        <scheme val="minor"/>
      </rPr>
      <t>4</t>
    </r>
  </si>
  <si>
    <t>SMARTEMP HSC-VS-DN355</t>
  </si>
  <si>
    <t>Display Text</t>
  </si>
  <si>
    <t>Recommended Layout</t>
  </si>
  <si>
    <t>Spigot Area [m2]</t>
  </si>
  <si>
    <t>Ovalised</t>
  </si>
  <si>
    <t>Column Number</t>
  </si>
  <si>
    <t>Selected Box</t>
  </si>
  <si>
    <t>Diffuser Configuration</t>
  </si>
  <si>
    <t>H₁</t>
  </si>
  <si>
    <t>H₂</t>
  </si>
  <si>
    <t>H₄</t>
  </si>
  <si>
    <t>Ø₁</t>
  </si>
  <si>
    <t>H₃</t>
  </si>
  <si>
    <t>Selected Airflow ¹</t>
  </si>
  <si>
    <t>DISPLAY</t>
  </si>
  <si>
    <t>Noise</t>
  </si>
  <si>
    <t>db(A)</t>
  </si>
  <si>
    <t>Satisfies PMV</t>
  </si>
  <si>
    <t>(ISO7730)</t>
  </si>
  <si>
    <t>Satisfies PPD</t>
  </si>
  <si>
    <t>(ISO7730; ASHRAE Std 55)</t>
  </si>
  <si>
    <t>Order Code (select to copy)</t>
  </si>
  <si>
    <t>1=orange,2=red</t>
  </si>
  <si>
    <t>comfort criteria</t>
  </si>
  <si>
    <t>(see 'Coverage' in Layout Diagram below)</t>
  </si>
  <si>
    <t>Discharge Pattern</t>
  </si>
  <si>
    <t>2 Way (2×90°)</t>
  </si>
  <si>
    <t>Plan View</t>
  </si>
  <si>
    <t>for installations adjacent to walls</t>
  </si>
  <si>
    <t>for installations in corridors</t>
  </si>
  <si>
    <t>for installations in corners</t>
  </si>
  <si>
    <t>available for D1 to D10</t>
  </si>
  <si>
    <t>available for D2 to D10</t>
  </si>
  <si>
    <t>Refer to 'Notes' worksheet for Selection help</t>
  </si>
  <si>
    <t xml:space="preserve">default </t>
  </si>
  <si>
    <t>available for D0 to D10</t>
  </si>
  <si>
    <t>Active Door</t>
  </si>
  <si>
    <t>Closed Door</t>
  </si>
  <si>
    <t>Legend:</t>
  </si>
  <si>
    <t>more detailed options and information available in the HSC-VS product brochure</t>
  </si>
  <si>
    <t>more detailed information available in the HSC-VS product brochure</t>
  </si>
  <si>
    <t>go to 'HSC-VS Selection Summary' for a printable summary of the selection</t>
  </si>
  <si>
    <t>Related Products</t>
  </si>
  <si>
    <t xml:space="preserve">Smartemp HSC-FD: </t>
  </si>
  <si>
    <r>
      <t>use when</t>
    </r>
    <r>
      <rPr>
        <b/>
        <sz val="12"/>
        <color theme="1"/>
        <rFont val="Calibri"/>
        <family val="2"/>
        <scheme val="minor"/>
      </rPr>
      <t xml:space="preserve"> D &gt; C</t>
    </r>
    <r>
      <rPr>
        <b/>
        <vertAlign val="subscript"/>
        <sz val="12"/>
        <color theme="1"/>
        <rFont val="Calibri"/>
        <family val="2"/>
        <scheme val="minor"/>
      </rPr>
      <t>min</t>
    </r>
    <r>
      <rPr>
        <b/>
        <sz val="12"/>
        <color theme="1"/>
        <rFont val="Calibri"/>
        <family val="2"/>
        <scheme val="minor"/>
      </rPr>
      <t>/2</t>
    </r>
  </si>
  <si>
    <r>
      <t>use when</t>
    </r>
    <r>
      <rPr>
        <b/>
        <sz val="12"/>
        <color theme="1"/>
        <rFont val="Calibri"/>
        <family val="2"/>
        <scheme val="minor"/>
      </rPr>
      <t xml:space="preserve"> D &lt; C</t>
    </r>
    <r>
      <rPr>
        <b/>
        <vertAlign val="subscript"/>
        <sz val="12"/>
        <color theme="1"/>
        <rFont val="Calibri"/>
        <family val="2"/>
        <scheme val="minor"/>
      </rPr>
      <t>min</t>
    </r>
    <r>
      <rPr>
        <b/>
        <sz val="12"/>
        <color theme="1"/>
        <rFont val="Calibri"/>
        <family val="2"/>
        <scheme val="minor"/>
      </rPr>
      <t>/2</t>
    </r>
  </si>
  <si>
    <t>fixed aperture ceiling swirl - VAV optimised</t>
  </si>
  <si>
    <t>adjustable direction ceiling swirl</t>
  </si>
  <si>
    <t>Design Static Pressure</t>
  </si>
  <si>
    <t>Standalone Diffuser</t>
  </si>
  <si>
    <t>Vari-Smart Networked Diffuser</t>
  </si>
  <si>
    <t>High Profile 350</t>
  </si>
  <si>
    <t>20200822_Vari-Swirl_Acoustics.xlsx</t>
  </si>
  <si>
    <t>Airflow Limit</t>
  </si>
  <si>
    <t>Damper Pos</t>
  </si>
  <si>
    <t>Airflow -&gt; Damper</t>
  </si>
  <si>
    <t>Airflow Bracket</t>
  </si>
  <si>
    <t>Eqn</t>
  </si>
  <si>
    <t>Damper Position</t>
  </si>
  <si>
    <t>Airflow 30Pa Equiv</t>
  </si>
  <si>
    <t>Flowrate 30Pa Equiv</t>
  </si>
  <si>
    <t>(for damper positioning)</t>
  </si>
  <si>
    <t>Max Airflow at 30 Pa</t>
  </si>
  <si>
    <t>Max Airflow at Design P</t>
  </si>
  <si>
    <t>Door Pos @ 100% V and design pressure</t>
  </si>
  <si>
    <t>data.MinFlowrate</t>
  </si>
  <si>
    <t>V_min</t>
  </si>
  <si>
    <t>Box X-sect A</t>
  </si>
  <si>
    <t>DN:H A Ratio</t>
  </si>
  <si>
    <t>Spigot Area</t>
  </si>
  <si>
    <t>P(DN:H) Ratio</t>
  </si>
  <si>
    <t>P(DN/perf)</t>
  </si>
  <si>
    <t>P(H/perf)</t>
  </si>
  <si>
    <t>zeta perf</t>
  </si>
  <si>
    <t>Pdrop Perf</t>
  </si>
  <si>
    <t>350 Box</t>
  </si>
  <si>
    <t>Total Pressure (Inlet)</t>
  </si>
  <si>
    <t>Static Pressure (Inlet)</t>
  </si>
  <si>
    <t>350mm box Spigot D</t>
  </si>
  <si>
    <t>Total Pressure Adj</t>
  </si>
  <si>
    <t>rejection</t>
  </si>
  <si>
    <t>PPD Cat</t>
  </si>
  <si>
    <t>Total Pressure</t>
  </si>
  <si>
    <t>squish factor</t>
  </si>
  <si>
    <t>SWL Squish Factor</t>
  </si>
  <si>
    <t>Squish Ratio</t>
  </si>
  <si>
    <t>Squish ratio</t>
  </si>
  <si>
    <t>hard coded 0</t>
  </si>
  <si>
    <t>DN350 Pressure</t>
  </si>
  <si>
    <t>DN250 Pressure</t>
  </si>
  <si>
    <t>Static Pressure (Spigot)</t>
  </si>
  <si>
    <t>Total Pressure (Spigot)</t>
  </si>
  <si>
    <t xml:space="preserve">Smartemp HSC-AD: </t>
  </si>
  <si>
    <t>Sound Pressure Level is provided as a guide only for a standard, carpeted single office with acoustic ceiling. An acoustical engineer should be consulted for detailed calculations, especially for applications with more than one diffuser or where hard surfaces are involved.</t>
  </si>
  <si>
    <t>System Setup</t>
  </si>
  <si>
    <t>PM2.5</t>
  </si>
  <si>
    <t>Options:</t>
  </si>
  <si>
    <t>Selected Design Static Pressure</t>
  </si>
  <si>
    <t>Wall stat type</t>
  </si>
  <si>
    <t>Push button Wall-Stat with Room Temp</t>
  </si>
  <si>
    <t>Face Colour</t>
  </si>
  <si>
    <t>Minimum Damper Percent at Design</t>
  </si>
  <si>
    <t>Design Airflow Rate</t>
  </si>
  <si>
    <t>Selected Design Airflow</t>
  </si>
  <si>
    <t>Selected Pressure</t>
  </si>
  <si>
    <t>Static Pressure at 100% Damper</t>
  </si>
  <si>
    <t>Selected Design Pressure</t>
  </si>
  <si>
    <t>Box Selection</t>
  </si>
  <si>
    <t>H350</t>
  </si>
  <si>
    <t>H250</t>
  </si>
  <si>
    <t>Max Airflow @ 
3.5 m/s Effective Spigot  Velocity [L/s]</t>
  </si>
  <si>
    <t>HSC-VS Face SWL</t>
  </si>
  <si>
    <t>Damper Acoustic Eqn</t>
  </si>
  <si>
    <t>x</t>
  </si>
  <si>
    <t>x2</t>
  </si>
  <si>
    <t>x3</t>
  </si>
  <si>
    <t xml:space="preserve">Basket Only (P) </t>
  </si>
  <si>
    <t>Adjustments</t>
  </si>
  <si>
    <t>Basket + Face Addition</t>
  </si>
  <si>
    <t>fixed vane assumption</t>
  </si>
  <si>
    <t>LN(P)</t>
  </si>
  <si>
    <t>DN200 Pressure</t>
  </si>
  <si>
    <t>H200</t>
  </si>
  <si>
    <t>Recommended</t>
  </si>
  <si>
    <t>Thin Border Condition</t>
  </si>
  <si>
    <t>K =</t>
  </si>
  <si>
    <t>v.h =</t>
  </si>
  <si>
    <t>dLw =</t>
  </si>
  <si>
    <t>SWL1</t>
  </si>
  <si>
    <t xml:space="preserve">Perf </t>
  </si>
  <si>
    <t>holes</t>
  </si>
  <si>
    <t>x-sect</t>
  </si>
  <si>
    <t>SWL2</t>
  </si>
  <si>
    <t>Sum</t>
  </si>
  <si>
    <t>Recommended Box Text</t>
  </si>
  <si>
    <t>Recommended Spigot</t>
  </si>
  <si>
    <t>diffuser sum</t>
  </si>
  <si>
    <t>P(H:DN Tatio</t>
  </si>
  <si>
    <t>Qspigot</t>
  </si>
  <si>
    <t>Qx-sect</t>
  </si>
  <si>
    <t>P(H:DN) Ratio</t>
  </si>
  <si>
    <t>Optional On Board Sensors</t>
  </si>
  <si>
    <t>Wall stat options</t>
  </si>
  <si>
    <t>Name</t>
  </si>
  <si>
    <t>WP</t>
  </si>
  <si>
    <t>On-board</t>
  </si>
  <si>
    <t>Wall sensor</t>
  </si>
  <si>
    <t>W0</t>
  </si>
  <si>
    <t>No Wall-Stat</t>
  </si>
  <si>
    <t>No Optional On-Board Sensors</t>
  </si>
  <si>
    <r>
      <t>CO</t>
    </r>
    <r>
      <rPr>
        <vertAlign val="subscript"/>
        <sz val="12"/>
        <color theme="0" tint="-0.34998626667073579"/>
        <rFont val="Calibri"/>
        <family val="2"/>
        <scheme val="minor"/>
      </rPr>
      <t>2</t>
    </r>
    <r>
      <rPr>
        <sz val="12"/>
        <color theme="0" tint="-0.34998626667073579"/>
        <rFont val="Calibri"/>
        <family val="2"/>
        <scheme val="minor"/>
      </rPr>
      <t xml:space="preserve"> &amp; RH</t>
    </r>
  </si>
  <si>
    <t>Networked Diffuser</t>
  </si>
  <si>
    <t>VSN</t>
  </si>
  <si>
    <t>Desc</t>
  </si>
  <si>
    <t>(VOC)</t>
  </si>
  <si>
    <t>(CO₂ + RH)</t>
  </si>
  <si>
    <t>On-board IAQ Sensor</t>
  </si>
  <si>
    <t>On-board PIR Sensor</t>
  </si>
  <si>
    <t>CO₂ &amp; RH</t>
  </si>
  <si>
    <t>Optional Wall Sensor</t>
  </si>
  <si>
    <t>°±Δ</t>
  </si>
  <si>
    <t>Specific Flowrate</t>
  </si>
  <si>
    <t>comment</t>
  </si>
  <si>
    <t>Airflow Max</t>
  </si>
  <si>
    <t>Airflow Min</t>
  </si>
  <si>
    <t>Desc (short)</t>
  </si>
  <si>
    <r>
      <t>L</t>
    </r>
    <r>
      <rPr>
        <b/>
        <vertAlign val="subscript"/>
        <sz val="12"/>
        <color theme="1"/>
        <rFont val="Calibri"/>
        <family val="2"/>
        <scheme val="minor"/>
      </rPr>
      <t>3</t>
    </r>
  </si>
  <si>
    <t>PIR Sensor</t>
  </si>
  <si>
    <t>Push Button Wall Stat</t>
  </si>
  <si>
    <t>Touch Screen Wall Stat</t>
  </si>
  <si>
    <t>SYSTEM SETUP</t>
  </si>
  <si>
    <t>SENSORS</t>
  </si>
  <si>
    <t>room temperature sensor</t>
  </si>
  <si>
    <t>room temperature</t>
  </si>
  <si>
    <t>supply temperature</t>
  </si>
  <si>
    <t>LAYOUT AND DISCHARGE PATTERN</t>
  </si>
  <si>
    <t>SELECTION NOTES</t>
  </si>
  <si>
    <t>standard</t>
  </si>
  <si>
    <t>optional</t>
  </si>
  <si>
    <t>On-Board Sensors</t>
  </si>
  <si>
    <t>optional 
(select
multiple)</t>
  </si>
  <si>
    <t>Optional Wall Stat</t>
  </si>
  <si>
    <r>
      <t>CO</t>
    </r>
    <r>
      <rPr>
        <vertAlign val="subscript"/>
        <sz val="12"/>
        <color theme="1"/>
        <rFont val="Calibri"/>
        <family val="2"/>
        <scheme val="minor"/>
      </rPr>
      <t>2</t>
    </r>
    <r>
      <rPr>
        <sz val="12"/>
        <color theme="1"/>
        <rFont val="Calibri"/>
        <family val="2"/>
        <scheme val="minor"/>
      </rPr>
      <t xml:space="preserve"> &amp; RH</t>
    </r>
  </si>
  <si>
    <t>pressure sensor</t>
  </si>
  <si>
    <r>
      <t>CO</t>
    </r>
    <r>
      <rPr>
        <vertAlign val="subscript"/>
        <sz val="12"/>
        <color theme="1"/>
        <rFont val="Calibri"/>
        <family val="2"/>
        <scheme val="minor"/>
      </rPr>
      <t>2</t>
    </r>
    <r>
      <rPr>
        <sz val="12"/>
        <color theme="1"/>
        <rFont val="Calibri"/>
        <family val="2"/>
        <scheme val="minor"/>
      </rPr>
      <t xml:space="preserve"> &amp; RH, or</t>
    </r>
  </si>
  <si>
    <t>Networked Diffuser with Central Controller (by others)</t>
  </si>
  <si>
    <t>Standalone</t>
  </si>
  <si>
    <t xml:space="preserve">Vari-Smart controller </t>
  </si>
  <si>
    <t>Each diffuser acts independently</t>
  </si>
  <si>
    <t>BMS contractor responsible for fan/temperature control</t>
  </si>
  <si>
    <t>-</t>
  </si>
  <si>
    <t>rec. box height</t>
  </si>
  <si>
    <t>rec. box spigot</t>
  </si>
  <si>
    <t>Helical Vari-Swirl Diffuser [HSC-VS DN355]</t>
  </si>
  <si>
    <t>Helical Vari-Swirl Diffuser - Notes</t>
  </si>
  <si>
    <t>Sensors</t>
  </si>
  <si>
    <t>Acoustic min max</t>
  </si>
  <si>
    <t>Zoning programmed through Vari-Smart Controller</t>
  </si>
  <si>
    <t>Airflow - VAV</t>
  </si>
  <si>
    <t xml:space="preserve">BMS (by others) </t>
  </si>
  <si>
    <t xml:space="preserve">Comms: MODBUS TCP/IP </t>
  </si>
  <si>
    <t>HOW TO SELECT</t>
  </si>
  <si>
    <t>Results:</t>
  </si>
  <si>
    <t>Select:</t>
  </si>
  <si>
    <t>Result:</t>
  </si>
  <si>
    <t>Damper Position at 150 L/s and 46.1 Pa</t>
  </si>
  <si>
    <t>Repeat Steps 3 &amp; 4</t>
  </si>
  <si>
    <t>Damper Position at 155 L/s and 31.1 Pa</t>
  </si>
  <si>
    <r>
      <t>P = P</t>
    </r>
    <r>
      <rPr>
        <vertAlign val="subscript"/>
        <sz val="12"/>
        <color theme="1"/>
        <rFont val="Calibri"/>
        <family val="2"/>
        <scheme val="minor"/>
      </rPr>
      <t>start</t>
    </r>
    <r>
      <rPr>
        <sz val="12"/>
        <color theme="1"/>
        <rFont val="Calibri"/>
        <family val="2"/>
        <scheme val="minor"/>
      </rPr>
      <t xml:space="preserve"> - P</t>
    </r>
    <r>
      <rPr>
        <vertAlign val="subscript"/>
        <sz val="12"/>
        <color theme="1"/>
        <rFont val="Calibri"/>
        <family val="2"/>
        <scheme val="minor"/>
      </rPr>
      <t>loss</t>
    </r>
  </si>
  <si>
    <r>
      <t xml:space="preserve">Pa </t>
    </r>
    <r>
      <rPr>
        <sz val="12"/>
        <color theme="0" tint="-0.499984740745262"/>
        <rFont val="Calibri"/>
        <family val="2"/>
        <scheme val="minor"/>
      </rPr>
      <t xml:space="preserve"> (from step 3)</t>
    </r>
  </si>
  <si>
    <t>P = 56.1 - 10.0 - 10.0 - 5.0 = 31.1 Pa</t>
  </si>
  <si>
    <t>Calculate:</t>
  </si>
  <si>
    <r>
      <t>L/s</t>
    </r>
    <r>
      <rPr>
        <sz val="12"/>
        <color theme="0" tint="-0.499984740745262"/>
        <rFont val="Calibri"/>
        <family val="2"/>
        <scheme val="minor"/>
      </rPr>
      <t xml:space="preserve"> (desired flow rate)</t>
    </r>
  </si>
  <si>
    <r>
      <t xml:space="preserve">L/s </t>
    </r>
    <r>
      <rPr>
        <sz val="12"/>
        <color theme="0" tint="-0.499984740745262"/>
        <rFont val="Calibri"/>
        <family val="2"/>
        <scheme val="minor"/>
      </rPr>
      <t>(desired flow rate)</t>
    </r>
  </si>
  <si>
    <t>Index Diffuser - Set 'Design Airflow Rate' to determine 'Door Setting' and 'Desired Design Pressure'</t>
  </si>
  <si>
    <t xml:space="preserve">Non-Index Diffusers - Set 'Design Airflow Rate' and the Duct-Determined 'Design Static Pressure' to determine 'Door Setting' </t>
  </si>
  <si>
    <t>Comms: MODBUS RS485 (daisy chain)</t>
  </si>
  <si>
    <r>
      <t xml:space="preserve">use when </t>
    </r>
    <r>
      <rPr>
        <b/>
        <sz val="12"/>
        <color theme="1"/>
        <rFont val="Calibri"/>
        <family val="2"/>
        <scheme val="minor"/>
      </rPr>
      <t>D &lt; C</t>
    </r>
    <r>
      <rPr>
        <b/>
        <vertAlign val="subscript"/>
        <sz val="12"/>
        <color theme="1"/>
        <rFont val="Calibri"/>
        <family val="2"/>
        <scheme val="minor"/>
      </rPr>
      <t>min</t>
    </r>
    <r>
      <rPr>
        <b/>
        <sz val="12"/>
        <color theme="1"/>
        <rFont val="Calibri"/>
        <family val="2"/>
        <scheme val="minor"/>
      </rPr>
      <t>/2</t>
    </r>
  </si>
  <si>
    <t>NOISE &amp; ACOUSTICS</t>
  </si>
  <si>
    <t>See to 'Notes' worksheet for guide on starting a selection</t>
  </si>
  <si>
    <r>
      <rPr>
        <b/>
        <sz val="12"/>
        <color theme="1" tint="0.249977111117893"/>
        <rFont val="Calibri"/>
        <family val="2"/>
        <scheme val="minor"/>
      </rPr>
      <t>P</t>
    </r>
    <r>
      <rPr>
        <b/>
        <vertAlign val="subscript"/>
        <sz val="12"/>
        <color theme="1" tint="0.249977111117893"/>
        <rFont val="Calibri"/>
        <family val="2"/>
        <scheme val="minor"/>
      </rPr>
      <t>1</t>
    </r>
    <r>
      <rPr>
        <b/>
        <sz val="12"/>
        <color theme="0" tint="-0.499984740745262"/>
        <rFont val="Calibri"/>
        <family val="2"/>
        <scheme val="minor"/>
      </rPr>
      <t>: Static Pressure @ Design Airflow &amp; 100% Damper</t>
    </r>
  </si>
  <si>
    <t>Static Pressure @ Design Airflow &amp; 100% Damper</t>
  </si>
  <si>
    <t xml:space="preserve">Calculate First Takeoff Static Pressure </t>
  </si>
  <si>
    <r>
      <t>P</t>
    </r>
    <r>
      <rPr>
        <vertAlign val="subscript"/>
        <sz val="12"/>
        <color theme="1"/>
        <rFont val="Calibri"/>
        <family val="2"/>
        <scheme val="minor"/>
      </rPr>
      <t>2</t>
    </r>
    <r>
      <rPr>
        <sz val="12"/>
        <color theme="1"/>
        <rFont val="Calibri"/>
        <family val="2"/>
        <scheme val="minor"/>
      </rPr>
      <t xml:space="preserve"> = index run pressure loss</t>
    </r>
  </si>
  <si>
    <r>
      <t>P</t>
    </r>
    <r>
      <rPr>
        <vertAlign val="subscript"/>
        <sz val="12"/>
        <color theme="1"/>
        <rFont val="Calibri"/>
        <family val="2"/>
        <scheme val="minor"/>
      </rPr>
      <t>2</t>
    </r>
    <r>
      <rPr>
        <sz val="12"/>
        <color theme="1"/>
        <rFont val="Calibri"/>
        <family val="2"/>
        <scheme val="minor"/>
      </rPr>
      <t xml:space="preserve"> = 26.1 + 20 + 10</t>
    </r>
  </si>
  <si>
    <t>All balancing dampers to be fully open</t>
  </si>
  <si>
    <t>Highest Pressure Diffuser (Closest to AHU) - 
Calculate Diffuser Design Static Pressure</t>
  </si>
  <si>
    <t>Note: The design pressure, and hence the noise, of all remaining diffusers will be less than the 'highest pressure diffuser'. It is therefore generally not necessary to calculate these.</t>
  </si>
  <si>
    <t>(recommend selecting 'Door Setting' with the largest 'Damper Position')</t>
  </si>
  <si>
    <t>⌀ 600mm circular face - for freely suspended applications only</t>
  </si>
  <si>
    <t>Grey Circular Face</t>
  </si>
  <si>
    <t>Radio Buttons</t>
  </si>
  <si>
    <t>Colour Red</t>
  </si>
  <si>
    <t>v" Centre Zone 0.35 l/s/m2</t>
  </si>
  <si>
    <t>v" Centre Zone 0.35 l/s/m3</t>
  </si>
  <si>
    <t>v" Centre Zone 0.35 l/s/m4</t>
  </si>
  <si>
    <t>v" Centre Zone 0.35 l/s/m5</t>
  </si>
  <si>
    <t>v" Centre Zone 0.35 l/s/m6</t>
  </si>
  <si>
    <t>v" Centre Zone 0.35 l/s/m7</t>
  </si>
  <si>
    <t>v" Centre Zone 0.35 l/s/m8</t>
  </si>
  <si>
    <t>v" Centre Zone 0.35 l/s/m9</t>
  </si>
  <si>
    <t>v" Centre Zone 0.35 l/s/m10</t>
  </si>
  <si>
    <t>v" Centre Zone 0.35 l/s/m11</t>
  </si>
  <si>
    <t>v" Centre Zone 0.35 l/s/m12</t>
  </si>
  <si>
    <t>v" Perimeter Zone 0.35 L/s/m2</t>
  </si>
  <si>
    <t>v" Perimeter Zone 0.35 L/s/m3</t>
  </si>
  <si>
    <t>v" Perimeter Zone 0.35 L/s/m4</t>
  </si>
  <si>
    <t>v" Perimeter Zone 0.35 L/s/m5</t>
  </si>
  <si>
    <t>v" Perimeter Zone 0.35 L/s/m6</t>
  </si>
  <si>
    <t>v" Perimeter Zone 0.35 L/s/m7</t>
  </si>
  <si>
    <t>v" Perimeter Zone 0.35 L/s/m8</t>
  </si>
  <si>
    <t>v" Perimeter Zone 0.35 L/s/m9</t>
  </si>
  <si>
    <t>v" Perimeter Zone 0.35 L/s/m10</t>
  </si>
  <si>
    <t>v" Perimeter Zone 0.35 L/s/m11</t>
  </si>
  <si>
    <t>v" Perimeter Zone 0.35 L/s/m12</t>
  </si>
  <si>
    <t>More detailed information available in the HSC-VS product brochure</t>
  </si>
  <si>
    <t xml:space="preserve">Sound Pressure Level [NC] describes the noise level perceived by a listener 2.1 m from a diffuser located at 2.7 to 3.0 m height in a 70 m3 space (typical office) with 10 dB(A) room absorption that is uniformly distributed, due to the sound power level generated by that single diffuser only. Additional diffusers add additional noise logarithmically (eg. a second diffuser of the same sound power level as the first adds NC 3 to the sound pressure level perceived by the listener).
</t>
  </si>
  <si>
    <t>Options</t>
  </si>
  <si>
    <t>R2 Insulation</t>
  </si>
  <si>
    <t>Top Entry Spigot</t>
  </si>
  <si>
    <t>Box Options</t>
  </si>
  <si>
    <t>Insulation</t>
  </si>
  <si>
    <t>Cylindrical SM</t>
  </si>
  <si>
    <t>Gravity Pressure Relief Damper (DGPR)</t>
  </si>
  <si>
    <t>Accessories Code</t>
  </si>
  <si>
    <t>Recommended Door Setting</t>
  </si>
  <si>
    <t>Gravity Pressure Relief Damper</t>
  </si>
  <si>
    <t>Motorised Pressure Control Damper</t>
  </si>
  <si>
    <t>Type</t>
  </si>
  <si>
    <t>R1</t>
  </si>
  <si>
    <t>R2</t>
  </si>
  <si>
    <t>Display</t>
  </si>
  <si>
    <t>Selected</t>
  </si>
  <si>
    <t>DGPR</t>
  </si>
  <si>
    <t>DMPC</t>
  </si>
  <si>
    <t>Order Summary</t>
  </si>
  <si>
    <t>Accessories</t>
  </si>
  <si>
    <t>Option Text</t>
  </si>
  <si>
    <t>Desc. Table</t>
  </si>
  <si>
    <t>Cylindrical Selected</t>
  </si>
  <si>
    <t>Description Table</t>
  </si>
  <si>
    <t>Foam</t>
  </si>
  <si>
    <t>Sheetmetal</t>
  </si>
  <si>
    <t>Spigot Entry</t>
  </si>
  <si>
    <t>Pressure Damper</t>
  </si>
  <si>
    <t>No pressure damper</t>
  </si>
  <si>
    <t>M</t>
  </si>
  <si>
    <t>F</t>
  </si>
  <si>
    <t>Diffuser Code</t>
  </si>
  <si>
    <t>DN/A</t>
  </si>
  <si>
    <t>Text</t>
  </si>
  <si>
    <t>Invalid box selection</t>
  </si>
  <si>
    <t>R1 insulation</t>
  </si>
  <si>
    <t>R2 insulation</t>
  </si>
  <si>
    <t>DMPC available</t>
  </si>
  <si>
    <t>Minimum Damper % at Design Airflow</t>
  </si>
  <si>
    <t>bespoke</t>
  </si>
  <si>
    <t>DIFFUSER NOTES</t>
  </si>
  <si>
    <t>1. Diffusers are shipped with their VAV dampers set to D0. Suitable adjustment to the door setting is recommended by the diffuser microprocessor during on-site air balancing.</t>
  </si>
  <si>
    <t>2. Shipped door setting is 4-way; adjustable on site to 2-way or 3-way</t>
  </si>
  <si>
    <t>3. Vari-Smart Controller (VSC): VSCs may, additionally, be required to provide central control of the HSC-VS diffusers served by the associated AHU/FCU and to optimise AHU/FCU supply air pressure (fan speed) and supply air temperature (cooling/heating valve) control.</t>
  </si>
  <si>
    <t>Diffusers are shipped with their VAV dampers set to D0. Door settings need not be specified. Suitable adjustment to the door setting is recommended by the diffuser microprocessor during on-site air balancing.</t>
  </si>
  <si>
    <t>Standard On-Board Sensors
• Supply Temperature
• Room Temperature
• Supply Pressure</t>
  </si>
  <si>
    <t>Diffuser</t>
  </si>
  <si>
    <t>350 mm 
High-Profile Connection Box</t>
  </si>
  <si>
    <t>250mm Standard connection Box</t>
  </si>
  <si>
    <t>350 mm High-Profile connection Box</t>
  </si>
  <si>
    <t>250 mm Medium-Profile connection Box</t>
  </si>
  <si>
    <t>200 mm Low-Profile connection Box</t>
  </si>
  <si>
    <t>200 mm Ultra Low Profile Connection Box</t>
  </si>
  <si>
    <r>
      <t>P</t>
    </r>
    <r>
      <rPr>
        <vertAlign val="subscript"/>
        <sz val="12"/>
        <color theme="1"/>
        <rFont val="Calibri"/>
        <family val="2"/>
        <scheme val="minor"/>
      </rPr>
      <t>2</t>
    </r>
    <r>
      <rPr>
        <sz val="12"/>
        <color theme="1"/>
        <rFont val="Calibri"/>
        <family val="2"/>
        <scheme val="minor"/>
      </rPr>
      <t xml:space="preserve"> = P</t>
    </r>
    <r>
      <rPr>
        <vertAlign val="subscript"/>
        <sz val="12"/>
        <color theme="1"/>
        <rFont val="Calibri"/>
        <family val="2"/>
        <scheme val="minor"/>
      </rPr>
      <t>1</t>
    </r>
    <r>
      <rPr>
        <sz val="12"/>
        <color theme="1"/>
        <rFont val="Calibri"/>
        <family val="2"/>
        <scheme val="minor"/>
      </rPr>
      <t xml:space="preserve"> + P </t>
    </r>
    <r>
      <rPr>
        <vertAlign val="subscript"/>
        <sz val="12"/>
        <color theme="1"/>
        <rFont val="Calibri"/>
        <family val="2"/>
        <scheme val="minor"/>
      </rPr>
      <t>flex loss 2</t>
    </r>
    <r>
      <rPr>
        <sz val="12"/>
        <color theme="1"/>
        <rFont val="Calibri"/>
        <family val="2"/>
        <scheme val="minor"/>
      </rPr>
      <t xml:space="preserve"> + P </t>
    </r>
    <r>
      <rPr>
        <vertAlign val="subscript"/>
        <sz val="12"/>
        <color theme="1"/>
        <rFont val="Calibri"/>
        <family val="2"/>
        <scheme val="minor"/>
      </rPr>
      <t>duct loss 1</t>
    </r>
  </si>
  <si>
    <r>
      <t>P</t>
    </r>
    <r>
      <rPr>
        <vertAlign val="subscript"/>
        <sz val="12"/>
        <color theme="1"/>
        <rFont val="Calibri"/>
        <family val="2"/>
        <scheme val="minor"/>
      </rPr>
      <t>3</t>
    </r>
    <r>
      <rPr>
        <sz val="12"/>
        <color theme="1"/>
        <rFont val="Calibri"/>
        <family val="2"/>
        <scheme val="minor"/>
      </rPr>
      <t xml:space="preserve"> = 56.1 - 10</t>
    </r>
  </si>
  <si>
    <r>
      <t>P</t>
    </r>
    <r>
      <rPr>
        <vertAlign val="subscript"/>
        <sz val="12"/>
        <color theme="1"/>
        <rFont val="Calibri"/>
        <family val="2"/>
        <scheme val="minor"/>
      </rPr>
      <t>3</t>
    </r>
    <r>
      <rPr>
        <sz val="12"/>
        <color theme="1"/>
        <rFont val="Calibri"/>
        <family val="2"/>
        <scheme val="minor"/>
      </rPr>
      <t xml:space="preserve"> = P</t>
    </r>
    <r>
      <rPr>
        <vertAlign val="subscript"/>
        <sz val="12"/>
        <color theme="1"/>
        <rFont val="Calibri"/>
        <family val="2"/>
        <scheme val="minor"/>
      </rPr>
      <t>2</t>
    </r>
    <r>
      <rPr>
        <sz val="12"/>
        <color theme="1"/>
        <rFont val="Calibri"/>
        <family val="2"/>
        <scheme val="minor"/>
      </rPr>
      <t xml:space="preserve"> - P </t>
    </r>
    <r>
      <rPr>
        <vertAlign val="subscript"/>
        <sz val="12"/>
        <color theme="1"/>
        <rFont val="Calibri"/>
        <family val="2"/>
        <scheme val="minor"/>
      </rPr>
      <t>flex loss</t>
    </r>
  </si>
  <si>
    <r>
      <t>P</t>
    </r>
    <r>
      <rPr>
        <b/>
        <vertAlign val="subscript"/>
        <sz val="12"/>
        <color theme="1"/>
        <rFont val="Calibri"/>
        <family val="2"/>
        <scheme val="minor"/>
      </rPr>
      <t>2</t>
    </r>
    <r>
      <rPr>
        <b/>
        <sz val="12"/>
        <color theme="1"/>
        <rFont val="Calibri"/>
        <family val="2"/>
        <scheme val="minor"/>
      </rPr>
      <t xml:space="preserve"> = 56.1 Pa</t>
    </r>
  </si>
  <si>
    <r>
      <t>P</t>
    </r>
    <r>
      <rPr>
        <b/>
        <vertAlign val="subscript"/>
        <sz val="12"/>
        <color theme="1"/>
        <rFont val="Calibri"/>
        <family val="2"/>
        <scheme val="minor"/>
      </rPr>
      <t>3</t>
    </r>
    <r>
      <rPr>
        <b/>
        <sz val="12"/>
        <color theme="1"/>
        <rFont val="Calibri"/>
        <family val="2"/>
        <scheme val="minor"/>
      </rPr>
      <t xml:space="preserve"> = 46.1 Pa</t>
    </r>
  </si>
  <si>
    <t>Room Temperature, Supply Temperature, and Supply Pressure sensors come standard.</t>
  </si>
  <si>
    <t>Sheetmetal (Cyl.)</t>
  </si>
  <si>
    <t>No Wall-Stat *</t>
  </si>
  <si>
    <t>SX</t>
  </si>
  <si>
    <t>Direction(front pg)</t>
  </si>
  <si>
    <t>Disharge Pattern</t>
  </si>
  <si>
    <t>(see 'Notes' worksheet (Row 94) for discharge direction recommendations)</t>
  </si>
  <si>
    <t>See 'Connection Box Details' worksheet for drawings and dimensions</t>
  </si>
  <si>
    <t>Sound Pressure Level *</t>
  </si>
  <si>
    <t>Acoustic values valid for diffuser including side-entry connection box with the recommended spigot size. See 'Connection Box Details' worksheet.
* Sound Pressure Level (NC) based on 10 dB(A) noise absoption. See 'Notes' worksheet row 16.</t>
  </si>
  <si>
    <t>SDA</t>
  </si>
  <si>
    <t>BCN</t>
  </si>
  <si>
    <t>DMPC (N/A)</t>
  </si>
  <si>
    <t>Motorised Pressure Control Damper (round spigots only) (invalid)</t>
  </si>
  <si>
    <t>Motorised Pressure Control Damper N/A (round spigots only)</t>
  </si>
  <si>
    <t>S0</t>
  </si>
  <si>
    <r>
      <t xml:space="preserve">Airflow @ 
3.5 m/s Effective Spigot  Velocity </t>
    </r>
    <r>
      <rPr>
        <b/>
        <sz val="11"/>
        <color theme="1"/>
        <rFont val="Calibri"/>
        <family val="2"/>
        <scheme val="minor"/>
      </rPr>
      <t>[L/s]</t>
    </r>
  </si>
  <si>
    <t>Include motorised pressure control damper</t>
  </si>
  <si>
    <t>recommended for Design Static Pressure &gt; 30 Pa</t>
  </si>
  <si>
    <t>MPCD</t>
  </si>
  <si>
    <t>H400</t>
  </si>
  <si>
    <t>SDX</t>
  </si>
  <si>
    <t>Motorised Pressure Control Damper (round spigots only - lengthened spigot)</t>
  </si>
  <si>
    <t>Gravity Pressure Relief Damper (side entry spigots only - lengthened spigot)</t>
  </si>
  <si>
    <t>Helical Vari-Swirl Diffuser - Connection Box Details</t>
  </si>
  <si>
    <t>Connection Box Details (R1 Insulated) without optional pressure dampers*</t>
  </si>
  <si>
    <t>DMPC Selection</t>
  </si>
  <si>
    <t>DGPR Selection</t>
  </si>
  <si>
    <t>Damper Selection</t>
  </si>
  <si>
    <t>Selection Button</t>
  </si>
  <si>
    <t>IAQ display text</t>
  </si>
  <si>
    <t>Wall stat option display</t>
  </si>
  <si>
    <t>Spigot with Integrated Gravity Pressure Relief Damper</t>
  </si>
  <si>
    <t>Checkbox N/A (side entry only)</t>
  </si>
  <si>
    <t>D.N/A</t>
  </si>
  <si>
    <t>Checkbox N/A - Selected in Cell E16</t>
  </si>
  <si>
    <t>round</t>
  </si>
  <si>
    <t>Spigot Area (round)</t>
  </si>
  <si>
    <t>MPCD Box Selection</t>
  </si>
  <si>
    <t>H300</t>
  </si>
  <si>
    <t>Box Size</t>
  </si>
  <si>
    <t>box height</t>
  </si>
  <si>
    <t>MPCD Box</t>
  </si>
  <si>
    <t>MPCD Box-1</t>
  </si>
  <si>
    <t>MPCD box smal Spigot D</t>
  </si>
  <si>
    <t>MPCD box nom Spigot D</t>
  </si>
  <si>
    <t>250 mm 
Medium-Profile Connection Box</t>
  </si>
  <si>
    <t>200 mm 
Low-Profile Connection Box</t>
  </si>
  <si>
    <t>Boxes List Normal</t>
  </si>
  <si>
    <t>Default Selected</t>
  </si>
  <si>
    <t>Spigot Size Normal</t>
  </si>
  <si>
    <t>Normal Box Selection</t>
  </si>
  <si>
    <t>Spigot Size Selection</t>
  </si>
  <si>
    <t>Code Full</t>
  </si>
  <si>
    <t>bespoke cylindrical</t>
  </si>
  <si>
    <t>B</t>
  </si>
  <si>
    <t>KN/A</t>
  </si>
  <si>
    <t>KMC</t>
  </si>
  <si>
    <t>description</t>
  </si>
  <si>
    <t>invalid box selection</t>
  </si>
  <si>
    <t>Option Display</t>
  </si>
  <si>
    <t>bespoke spigot</t>
  </si>
  <si>
    <t>Size DN</t>
  </si>
  <si>
    <t>Spigot Velocity</t>
  </si>
  <si>
    <t>H400-DN300</t>
  </si>
  <si>
    <t>Max Spigot Velocity Max Buffer</t>
  </si>
  <si>
    <t>Boxes List for MPCD</t>
  </si>
  <si>
    <t>Recommended Box Normal</t>
  </si>
  <si>
    <t>Recommended Box MPCD</t>
  </si>
  <si>
    <t>Undersized MPCD Spigot DISPLAY TRUE/FALS</t>
  </si>
  <si>
    <t>Undersize Selection</t>
  </si>
  <si>
    <t>Common Box Data</t>
  </si>
  <si>
    <t>Undersized</t>
  </si>
  <si>
    <t>Number</t>
  </si>
  <si>
    <r>
      <t>optional controller for optimised AHU control and interfacing; available through</t>
    </r>
    <r>
      <rPr>
        <i/>
        <sz val="11"/>
        <color theme="1" tint="0.34998626667073579"/>
        <rFont val="Calibri"/>
        <family val="2"/>
        <scheme val="minor"/>
      </rPr>
      <t xml:space="preserve"> Fusion Modulair</t>
    </r>
    <r>
      <rPr>
        <sz val="11"/>
        <color theme="1" tint="0.34998626667073579"/>
        <rFont val="Aptos Narrow"/>
        <family val="2"/>
      </rPr>
      <t>®</t>
    </r>
  </si>
  <si>
    <r>
      <t>Spigot Area 
[m</t>
    </r>
    <r>
      <rPr>
        <vertAlign val="superscript"/>
        <sz val="12"/>
        <color theme="1"/>
        <rFont val="Calibri"/>
        <family val="2"/>
        <scheme val="minor"/>
      </rPr>
      <t>2</t>
    </r>
    <r>
      <rPr>
        <sz val="12"/>
        <color theme="1"/>
        <rFont val="Calibri"/>
        <family val="2"/>
        <scheme val="minor"/>
      </rPr>
      <t>]</t>
    </r>
  </si>
  <si>
    <t>Push button Wall-Stat</t>
  </si>
  <si>
    <t>Touch Screen Wall-Stat</t>
  </si>
  <si>
    <t>Default Box</t>
  </si>
  <si>
    <t>Default Spigot</t>
  </si>
  <si>
    <r>
      <t xml:space="preserve">Pa  </t>
    </r>
    <r>
      <rPr>
        <sz val="12"/>
        <color theme="0" tint="-0.499984740745262"/>
        <rFont val="Calibri"/>
        <family val="2"/>
        <scheme val="minor"/>
      </rPr>
      <t>(pressure required to run index diffuser at 100% open)</t>
    </r>
  </si>
  <si>
    <t>IAQ Sensor - select one:</t>
  </si>
  <si>
    <t>MPCD Box Nominal</t>
  </si>
  <si>
    <t>MPCD Box small</t>
  </si>
  <si>
    <t>Pressure Damper SWL Adjustment</t>
  </si>
  <si>
    <t>dP</t>
  </si>
  <si>
    <t>pressure increase</t>
  </si>
  <si>
    <t>SWL increase</t>
  </si>
  <si>
    <t>Pressure Ratio%</t>
  </si>
  <si>
    <t>□ 595 mm square face *</t>
  </si>
  <si>
    <t>custom square face (□495 to □603 mm)</t>
  </si>
  <si>
    <t>Includes Damper Noise Increase</t>
  </si>
  <si>
    <t>Flow Rate</t>
  </si>
  <si>
    <t xml:space="preserve">Door </t>
  </si>
  <si>
    <t xml:space="preserve">Pressure </t>
  </si>
  <si>
    <t>30 (60)</t>
  </si>
  <si>
    <t xml:space="preserve">standard 30 Pa good design </t>
  </si>
  <si>
    <t>no pressure relief damper</t>
  </si>
  <si>
    <t>with pressure relief damper</t>
  </si>
  <si>
    <t xml:space="preserve">damper throttled % </t>
  </si>
  <si>
    <t>velocity increase</t>
  </si>
  <si>
    <t>at 44 dba</t>
  </si>
  <si>
    <t>37.4 dba</t>
  </si>
  <si>
    <t>hard coded 3</t>
  </si>
  <si>
    <t>TBC</t>
  </si>
  <si>
    <t>Recommended Box</t>
  </si>
  <si>
    <t>Circular Spigot</t>
  </si>
  <si>
    <r>
      <t xml:space="preserve">The standard connection box is side-entry rigid PU foam, R1 insulated. The side-entry spigot is removable. 
Options include R2 foam, a removable spigot with either an integrated motorised pressure control damper (MPCD)* or a gravity pressure relief damper (GPRD)*
</t>
    </r>
    <r>
      <rPr>
        <sz val="11"/>
        <color theme="1"/>
        <rFont val="Calibri"/>
        <family val="2"/>
        <scheme val="minor"/>
      </rPr>
      <t>* refer to 'Optional Pressure Dampers' tab</t>
    </r>
  </si>
  <si>
    <t>Bespoke spigot size (contact Smartair)</t>
  </si>
  <si>
    <t>Bespoke box (contact Smartair)</t>
  </si>
  <si>
    <t>Bespoke cylindrical box (contact Smartair)</t>
  </si>
  <si>
    <t>Foam box</t>
  </si>
  <si>
    <t>Sheetmetal box</t>
  </si>
  <si>
    <t>Cylindrical sheetmetal box</t>
  </si>
  <si>
    <t>Powder coated</t>
  </si>
  <si>
    <t>Invalid spigot selection</t>
  </si>
  <si>
    <r>
      <t>L</t>
    </r>
    <r>
      <rPr>
        <sz val="11"/>
        <color theme="1"/>
        <rFont val="Calibri"/>
        <family val="2"/>
      </rPr>
      <t>₃</t>
    </r>
  </si>
  <si>
    <t>Connection Box with Motorised Pressure Control Damper</t>
  </si>
  <si>
    <t>Helical Vari-Swirl Diffuser - Connection Box Details (with optional Motorised Pressure Control Damper)</t>
  </si>
  <si>
    <t>Total Pressure (fully open)</t>
  </si>
  <si>
    <t>Diffuser pressure design/required</t>
  </si>
  <si>
    <t>Total Pressure (Inlet) Req</t>
  </si>
  <si>
    <t>Static Pressure (Inlet) Req</t>
  </si>
  <si>
    <t>Diffuser pressure (design/req)</t>
  </si>
  <si>
    <t>as above</t>
  </si>
  <si>
    <t>Optional On-board Sensors 
(Plug-in)</t>
  </si>
  <si>
    <t>Plug-in Options:</t>
  </si>
  <si>
    <r>
      <t>CO</t>
    </r>
    <r>
      <rPr>
        <vertAlign val="subscript"/>
        <sz val="12"/>
        <color theme="0" tint="-0.34998626667073579"/>
        <rFont val="Calibri"/>
        <family val="2"/>
        <scheme val="minor"/>
      </rPr>
      <t>2</t>
    </r>
    <r>
      <rPr>
        <sz val="12"/>
        <color theme="0" tint="-0.34998626667073579"/>
        <rFont val="Calibri"/>
        <family val="2"/>
        <scheme val="minor"/>
      </rPr>
      <t xml:space="preserve"> &amp; RH         VOC</t>
    </r>
  </si>
  <si>
    <t>TE</t>
  </si>
  <si>
    <t>SE</t>
  </si>
  <si>
    <t>Top entry spigot</t>
  </si>
  <si>
    <t>Side entry spigot</t>
  </si>
  <si>
    <t>SE-DGPR</t>
  </si>
  <si>
    <t>Damper</t>
  </si>
  <si>
    <t>Pressure damper</t>
  </si>
  <si>
    <t>Code SE</t>
  </si>
  <si>
    <t>Code TE</t>
  </si>
  <si>
    <t>Side entry</t>
  </si>
  <si>
    <t>Top entry</t>
  </si>
  <si>
    <t>Spigot Summary</t>
  </si>
  <si>
    <t>Entry</t>
  </si>
  <si>
    <t>Presssure Damper</t>
  </si>
  <si>
    <t>Spigot Selection</t>
  </si>
  <si>
    <t>Side/Top</t>
  </si>
  <si>
    <t>Spigot Selection Radio</t>
  </si>
  <si>
    <t>Note</t>
  </si>
  <si>
    <t>Pressure Damper note</t>
  </si>
  <si>
    <t>Side entry spigot with Gravity Pressure Relief Damper</t>
  </si>
  <si>
    <t>Motorised Supply Source Damper</t>
  </si>
  <si>
    <t>Side entry spigots with Motorised Supply Source Damper</t>
  </si>
  <si>
    <t>Side entry spigots</t>
  </si>
  <si>
    <t>SE-DMSS</t>
  </si>
  <si>
    <t>Height</t>
  </si>
  <si>
    <t>Round Spigot Connection</t>
  </si>
  <si>
    <t>RoundSpigot</t>
  </si>
  <si>
    <t>Contact SMARTEMP for dimensions of the GPRD and MPCD spigot variants</t>
  </si>
  <si>
    <t>SDN/A</t>
  </si>
  <si>
    <t xml:space="preserve">System Setup </t>
  </si>
  <si>
    <t>• No Wall-Stat: Diffuser commissioning and air balancing requires micro-USB connection of a laptop, programmed with commissioning tools, to the diffuser hub.</t>
  </si>
  <si>
    <t>• Wall Stat: An optional wall-stat (push-button or touchscreen) wired to the diffuser allows setpoint adjustment by the user, and direct diffuser commissioning and air balancing.</t>
  </si>
  <si>
    <t>• BMS Linked: A Modbus RS485 comms chain may optionally link stand-alone HSC-VS diffusers (with or without a wall-stat) to a BMS / central controller (by others) to allow diffuser sensors to be monitored and/or set-points to be changed remotely, and to provide laptop network access for commissioning and air balancing via a Smartair Commissioning App.</t>
  </si>
  <si>
    <t>• Central Location by others: a third-party BMS / central controller is supplied and programmed by others to provide simplified AHU/FCU control.</t>
  </si>
  <si>
    <t>• Vari-smart controller: a VSC (optionally connected to a BMS) is available from Fusion Modulair™, pre-programmed to aggregate HSC-VS preferences and dynamically reset and optimise requests for AHU/FCU</t>
  </si>
  <si>
    <t>Stand-Alone or Networked 
(see Notes for more detail)</t>
  </si>
  <si>
    <r>
      <rPr>
        <b/>
        <sz val="12"/>
        <color theme="1"/>
        <rFont val="Calibri"/>
        <family val="2"/>
        <scheme val="minor"/>
      </rPr>
      <t>Networked:</t>
    </r>
    <r>
      <rPr>
        <sz val="12"/>
        <color theme="1"/>
        <rFont val="Calibri"/>
        <family val="2"/>
        <scheme val="minor"/>
      </rPr>
      <t xml:space="preserve">  A Modbus RS465 comms chain is required to link HSC-VS diffusers as for “BMS Linked” operation above (with or without wall-stat); 
</t>
    </r>
    <r>
      <rPr>
        <u/>
        <sz val="12"/>
        <color theme="1"/>
        <rFont val="Calibri"/>
        <family val="2"/>
        <scheme val="minor"/>
      </rPr>
      <t>plus</t>
    </r>
    <r>
      <rPr>
        <sz val="12"/>
        <color theme="1"/>
        <rFont val="Calibri"/>
        <family val="2"/>
        <scheme val="minor"/>
      </rPr>
      <t xml:space="preserve"> AHU/FCU control and system optimisation by the Vari-Swirl diffuser system via one of two options:</t>
    </r>
  </si>
  <si>
    <r>
      <rPr>
        <b/>
        <sz val="12"/>
        <color theme="1"/>
        <rFont val="Calibri"/>
        <family val="2"/>
        <scheme val="minor"/>
      </rPr>
      <t>Stand-Alone:</t>
    </r>
    <r>
      <rPr>
        <sz val="12"/>
        <color theme="1"/>
        <rFont val="Calibri"/>
        <family val="2"/>
        <scheme val="minor"/>
      </rPr>
      <t xml:space="preserve"> Each HSC-VS diffuser is suitable to operate stand-alone (requires 24 VDC power supply).</t>
    </r>
  </si>
  <si>
    <t>Summary Page</t>
  </si>
  <si>
    <t>Notes</t>
  </si>
  <si>
    <t>Motorised Supply Source Damper (dual spigots for corner office source selection)</t>
  </si>
  <si>
    <t>R1 Insulation*</t>
  </si>
  <si>
    <t>see note 1</t>
  </si>
  <si>
    <t>see note 2</t>
  </si>
  <si>
    <r>
      <t xml:space="preserve">Networked: A Modbus RS465 comms chain is required to link HSC-VS diffusers as for “BMS Linked” operation above (with or without wall-stat); 
plus AHU/FCU control and system optimisation by the Vari-Swirl diffuser system via one of two options:
</t>
    </r>
    <r>
      <rPr>
        <sz val="12"/>
        <color theme="1"/>
        <rFont val="Calibri"/>
        <family val="2"/>
        <scheme val="minor"/>
      </rPr>
      <t>·       1.  Central Controls by Others:          a third-party BMS / central controller is supplied and programmed by others to provide simplified AHU/FCU control (a “Central Controls by Others” functional description is available from Smartair Diffusion); or
·       2. Vari-Smart Controller (VSC):          a VSC (optionally connected to a BMS) is available from Fusion Modulair™, pre-programmed to aggregate HSC-VS preferences and dynamically reset and optimise requests for AHU/FCU cooling/heating mode, supply air temperature, and supply air pressure or fan speed. System supply air pressure and supply air temperature optimisation saves fan energy by targeting operation with at least one HSC-VS damper fully open, and dynamically balances fan energy savings, dehumidification, contaminant flushing, comfort, and zone over-cooling/heating mitigation. Advanced features include supply air temperature trim-and-respond control with importance multiplier zone priority weighting, zone type (priority, executive, meeting, office, public), economy and comfort settings (optionally user-adjustable, including user-boost functions), active / setback operation (manual / scheduled / PIR operated), optimum start/stop sequences, integrated commissioning and air balancing tools, and robustness to operational errors (over-pressure relief; sensor drift mitigation, automatic fault detection, and nuisance-alarm prevention).</t>
    </r>
  </si>
  <si>
    <r>
      <t xml:space="preserve">Stand-Alone:          Each HSC-VS diffuser is suitable to operate stand-alone (requires 24 VDC power supply).
</t>
    </r>
    <r>
      <rPr>
        <sz val="12"/>
        <color theme="1"/>
        <rFont val="Calibri"/>
        <family val="2"/>
        <scheme val="minor"/>
      </rPr>
      <t>·       No Wall-Stat:    Diffuser commissioning and air balancing requires micro-USB connection of a laptop, programmed with commissioning tools, to the diffuser hub; or
·       Wall-Stat:          An optional wall-stat (push-button or touchscreen) wired to the diffuser allows setpoint adjustment by the user, and direct diffuser commissioning and air balancing.
·       BMS Linked:      A Modbus RS485 comms chain may optionally link stand-alone HSC-VS diffusers (with or without a wall-stat) to a BMS / central controller (by others) to allow diffuser sensors to be monitored and/or set-points to be changed remotely, and to provide laptop network access for commissioning and air balancing via a Smartair Commissioning App.</t>
    </r>
  </si>
  <si>
    <t>See Notes for more detail</t>
  </si>
  <si>
    <t>Networked Diffuser with Vari-Smart Controller (VSC)</t>
  </si>
  <si>
    <t>Standalone - BMS Linked</t>
  </si>
  <si>
    <t>Vari-Swirl controls programming (by others) based on Functional Description by Smartair Diffusion</t>
  </si>
  <si>
    <t>max airflow</t>
  </si>
  <si>
    <t>Damper colour</t>
  </si>
  <si>
    <t>default 30%; min recommended 15%</t>
  </si>
  <si>
    <r>
      <t xml:space="preserve">Pa    </t>
    </r>
    <r>
      <rPr>
        <sz val="11"/>
        <color theme="0" tint="-0.34998626667073579"/>
        <rFont val="Calibri"/>
        <family val="2"/>
        <scheme val="minor"/>
      </rPr>
      <t>default 30 Pa (max 50 Pa)</t>
    </r>
  </si>
  <si>
    <t>Diffuser Design Static Pressure</t>
  </si>
  <si>
    <t>Diffuser Static Pressure</t>
  </si>
  <si>
    <t>Motorised PCD</t>
  </si>
  <si>
    <t xml:space="preserve">MPCD Static </t>
  </si>
  <si>
    <t>DMPC requires VSC (DMPC stand-alone operation planned for mid-2026)</t>
  </si>
  <si>
    <r>
      <t>Vari-Smart</t>
    </r>
    <r>
      <rPr>
        <sz val="11"/>
        <color theme="1" tint="0.34998626667073579"/>
        <rFont val="Aptos Narrow"/>
        <family val="2"/>
      </rPr>
      <t>®</t>
    </r>
    <r>
      <rPr>
        <sz val="11"/>
        <color theme="1" tint="0.34998626667073579"/>
        <rFont val="Calibri"/>
        <family val="2"/>
        <scheme val="minor"/>
      </rPr>
      <t xml:space="preserve"> Controller:  </t>
    </r>
  </si>
  <si>
    <t>MPCD Pressure</t>
  </si>
  <si>
    <t>Throttled MPCD Adjustments</t>
  </si>
  <si>
    <t>MPCD Adjustments</t>
  </si>
  <si>
    <t>Throttle Pressure Ratio</t>
  </si>
  <si>
    <t>Static P_throttled</t>
  </si>
  <si>
    <t>P_throttle ratio static</t>
  </si>
  <si>
    <t>SWL Throttle Adj</t>
  </si>
  <si>
    <t>SPL Throttle Adj</t>
  </si>
  <si>
    <t>https://www.aivc.org/sites/default/files/members_area/medias/pdf/CR/CR02_Flow_generated_noise.pdf</t>
  </si>
  <si>
    <t>https://strutt.arup.com/help/Mechanical_Services/DamperRegen.htm</t>
  </si>
  <si>
    <t>Motorised Pressure Control Damper (DMPC)</t>
  </si>
  <si>
    <t>default 60%; min recommended 50%</t>
  </si>
  <si>
    <t>v 4.1 [01/2026]</t>
  </si>
  <si>
    <t>Copyright © 2026 SMARTAIR DIFFUSION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</si>
</sst>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
    <numFmt numFmtId="165" formatCode="0.0"/>
    <numFmt numFmtId="166" formatCode="0.0%"/>
    <numFmt numFmtId="167" formatCode="\+\ 0.0;\-\ 0.0;\ 0.0"/>
    <numFmt numFmtId="168" formatCode="0.000"/>
    <numFmt numFmtId="169" formatCode="0.00000"/>
    <numFmt numFmtId="170" formatCode="0.0000000"/>
  </numFmts>
  <fonts count="11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color theme="1" tint="0.34998626667073579"/>
      <name val="Calibri"/>
      <family val="2"/>
      <scheme val="minor"/>
    </font>
    <font>
      <b/>
      <sz val="12"/>
      <color theme="3"/>
      <name val="Calibri"/>
      <family val="2"/>
      <scheme val="minor"/>
    </font>
    <font>
      <sz val="11"/>
      <color theme="1" tint="0.499984740745262"/>
      <name val="Calibri"/>
      <family val="2"/>
      <scheme val="minor"/>
    </font>
    <font>
      <sz val="11"/>
      <color theme="0" tint="-0.34998626667073579"/>
      <name val="Calibri"/>
      <family val="2"/>
      <scheme val="minor"/>
    </font>
    <font>
      <b/>
      <sz val="12"/>
      <color theme="3" tint="-0.499984740745262"/>
      <name val="Calibri"/>
      <family val="2"/>
      <scheme val="minor"/>
    </font>
    <font>
      <b/>
      <sz val="12"/>
      <color theme="0" tint="-0.499984740745262"/>
      <name val="Calibri"/>
      <family val="2"/>
      <scheme val="minor"/>
    </font>
    <font>
      <sz val="14"/>
      <color rgb="FFFF9900"/>
      <name val="Calibri"/>
      <family val="2"/>
      <scheme val="minor"/>
    </font>
    <font>
      <b/>
      <sz val="16"/>
      <color rgb="FFFF9900"/>
      <name val="Calibri"/>
      <family val="2"/>
      <scheme val="minor"/>
    </font>
    <font>
      <b/>
      <sz val="15"/>
      <color theme="1" tint="0.499984740745262"/>
      <name val="Calibri"/>
      <family val="2"/>
      <scheme val="minor"/>
    </font>
    <font>
      <b/>
      <sz val="11"/>
      <color theme="1" tint="0.499984740745262"/>
      <name val="Calibri"/>
      <family val="2"/>
      <scheme val="minor"/>
    </font>
    <font>
      <b/>
      <sz val="12"/>
      <color theme="1"/>
      <name val="Calibri"/>
      <family val="2"/>
      <scheme val="minor"/>
    </font>
    <font>
      <b/>
      <sz val="16"/>
      <color theme="0"/>
      <name val="Calibri"/>
      <family val="2"/>
      <scheme val="minor"/>
    </font>
    <font>
      <sz val="10"/>
      <color theme="1"/>
      <name val="Calibri"/>
      <family val="2"/>
      <scheme val="minor"/>
    </font>
    <font>
      <u/>
      <sz val="11"/>
      <color theme="10"/>
      <name val="Calibri"/>
      <family val="2"/>
      <scheme val="minor"/>
    </font>
    <font>
      <b/>
      <sz val="15"/>
      <color theme="1"/>
      <name val="Calibri"/>
      <family val="2"/>
      <scheme val="minor"/>
    </font>
    <font>
      <b/>
      <sz val="11"/>
      <color theme="1" tint="0.499984740745262"/>
      <name val="Calibri"/>
      <family val="2"/>
    </font>
    <font>
      <sz val="9"/>
      <color theme="1" tint="0.499984740745262"/>
      <name val="Calibri"/>
      <family val="2"/>
      <scheme val="minor"/>
    </font>
    <font>
      <sz val="9"/>
      <color theme="1" tint="0.499984740745262"/>
      <name val="Calibri"/>
      <family val="2"/>
    </font>
    <font>
      <b/>
      <sz val="9"/>
      <color theme="1" tint="0.499984740745262"/>
      <name val="Calibri"/>
      <family val="2"/>
    </font>
    <font>
      <b/>
      <sz val="11"/>
      <color theme="0" tint="-0.34998626667073579"/>
      <name val="Calibri"/>
      <family val="2"/>
      <scheme val="minor"/>
    </font>
    <font>
      <sz val="12"/>
      <color rgb="FFFF9900"/>
      <name val="Calibri"/>
      <family val="2"/>
      <scheme val="minor"/>
    </font>
    <font>
      <sz val="11"/>
      <color theme="1" tint="0.34998626667073579"/>
      <name val="Calibri"/>
      <family val="2"/>
    </font>
    <font>
      <sz val="8.8000000000000007"/>
      <color theme="1" tint="0.34998626667073579"/>
      <name val="Calibri"/>
      <family val="2"/>
    </font>
    <font>
      <sz val="12"/>
      <color theme="1"/>
      <name val="Calibri"/>
      <family val="2"/>
      <scheme val="minor"/>
    </font>
    <font>
      <vertAlign val="superscript"/>
      <sz val="11"/>
      <color theme="0"/>
      <name val="Calibri"/>
      <family val="2"/>
      <scheme val="minor"/>
    </font>
    <font>
      <b/>
      <sz val="12"/>
      <color rgb="FFFF0000"/>
      <name val="Calibri"/>
      <family val="2"/>
      <scheme val="minor"/>
    </font>
    <font>
      <sz val="11"/>
      <color theme="0" tint="-0.499984740745262"/>
      <name val="Calibri"/>
      <family val="2"/>
      <scheme val="minor"/>
    </font>
    <font>
      <sz val="11"/>
      <color theme="0" tint="-0.499984740745262"/>
      <name val="Calibri"/>
      <family val="2"/>
    </font>
    <font>
      <sz val="10"/>
      <color theme="0" tint="-4.9989318521683403E-2"/>
      <name val="Calibri"/>
      <family val="2"/>
      <scheme val="minor"/>
    </font>
    <font>
      <sz val="10"/>
      <color theme="0" tint="-4.9989318521683403E-2"/>
      <name val="Calibri"/>
      <family val="2"/>
    </font>
    <font>
      <sz val="11"/>
      <color theme="0" tint="-4.9989318521683403E-2"/>
      <name val="Calibri"/>
      <family val="2"/>
      <scheme val="minor"/>
    </font>
    <font>
      <b/>
      <sz val="11"/>
      <color theme="1" tint="0.34998626667073579"/>
      <name val="Calibri"/>
      <family val="2"/>
      <scheme val="minor"/>
    </font>
    <font>
      <sz val="10"/>
      <color theme="1" tint="0.34998626667073579"/>
      <name val="Calibri"/>
      <family val="2"/>
    </font>
    <font>
      <sz val="10"/>
      <color theme="1" tint="0.34998626667073579"/>
      <name val="Calibri"/>
      <family val="2"/>
      <scheme val="minor"/>
    </font>
    <font>
      <sz val="12"/>
      <name val="Calibri"/>
      <family val="2"/>
      <scheme val="minor"/>
    </font>
    <font>
      <sz val="16"/>
      <color theme="1"/>
      <name val="Calibri"/>
      <family val="2"/>
      <scheme val="minor"/>
    </font>
    <font>
      <sz val="18"/>
      <color theme="1"/>
      <name val="Calibri"/>
      <family val="2"/>
      <scheme val="minor"/>
    </font>
    <font>
      <sz val="16"/>
      <color theme="1"/>
      <name val="Cambria"/>
      <family val="1"/>
      <scheme val="major"/>
    </font>
    <font>
      <b/>
      <sz val="16"/>
      <color theme="1"/>
      <name val="Cambria"/>
      <family val="1"/>
      <scheme val="major"/>
    </font>
    <font>
      <sz val="10"/>
      <color theme="1"/>
      <name val="Times New Roman"/>
      <family val="1"/>
    </font>
    <font>
      <sz val="11"/>
      <color theme="0" tint="-0.249977111117893"/>
      <name val="Calibri"/>
      <family val="2"/>
      <scheme val="minor"/>
    </font>
    <font>
      <b/>
      <sz val="12"/>
      <color theme="1" tint="0.14999847407452621"/>
      <name val="Calibri"/>
      <family val="2"/>
      <scheme val="minor"/>
    </font>
    <font>
      <u/>
      <sz val="12"/>
      <color theme="1"/>
      <name val="Calibri"/>
      <family val="2"/>
      <scheme val="minor"/>
    </font>
    <font>
      <b/>
      <sz val="14"/>
      <color theme="1"/>
      <name val="Calibri"/>
      <family val="2"/>
      <scheme val="minor"/>
    </font>
    <font>
      <b/>
      <vertAlign val="subscript"/>
      <sz val="12"/>
      <color theme="1"/>
      <name val="Calibri"/>
      <family val="2"/>
      <scheme val="minor"/>
    </font>
    <font>
      <sz val="8"/>
      <name val="Calibri"/>
      <family val="2"/>
      <scheme val="minor"/>
    </font>
    <font>
      <b/>
      <sz val="16"/>
      <color theme="1"/>
      <name val="Calibri"/>
      <family val="2"/>
      <scheme val="minor"/>
    </font>
    <font>
      <sz val="11"/>
      <name val="Calibri"/>
      <family val="2"/>
      <scheme val="minor"/>
    </font>
    <font>
      <sz val="10"/>
      <color theme="1" tint="0.249977111117893"/>
      <name val="Calibri"/>
      <family val="2"/>
      <scheme val="minor"/>
    </font>
    <font>
      <sz val="11"/>
      <color theme="1" tint="0.249977111117893"/>
      <name val="Calibri"/>
      <family val="2"/>
      <scheme val="minor"/>
    </font>
    <font>
      <i/>
      <sz val="10"/>
      <color theme="1"/>
      <name val="Calibri"/>
      <family val="2"/>
      <scheme val="minor"/>
    </font>
    <font>
      <sz val="10"/>
      <color theme="0" tint="-0.14999847407452621"/>
      <name val="Calibri"/>
      <family val="2"/>
    </font>
    <font>
      <vertAlign val="superscript"/>
      <sz val="12"/>
      <color theme="1"/>
      <name val="Calibri"/>
      <family val="2"/>
      <scheme val="minor"/>
    </font>
    <font>
      <b/>
      <sz val="12"/>
      <color rgb="FFC00000"/>
      <name val="Calibri"/>
      <family val="2"/>
      <scheme val="minor"/>
    </font>
    <font>
      <sz val="11"/>
      <color rgb="FFC00000"/>
      <name val="Calibri"/>
      <family val="2"/>
      <scheme val="minor"/>
    </font>
    <font>
      <sz val="12.65"/>
      <color theme="1"/>
      <name val="Calibri"/>
      <family val="2"/>
    </font>
    <font>
      <b/>
      <sz val="11"/>
      <color rgb="FFC00000"/>
      <name val="Calibri"/>
      <family val="2"/>
      <scheme val="minor"/>
    </font>
    <font>
      <sz val="14"/>
      <color theme="1"/>
      <name val="Calibri"/>
      <family val="2"/>
      <scheme val="minor"/>
    </font>
    <font>
      <b/>
      <sz val="12"/>
      <color theme="5"/>
      <name val="Calibri"/>
      <family val="2"/>
      <scheme val="minor"/>
    </font>
    <font>
      <b/>
      <sz val="12"/>
      <color theme="9"/>
      <name val="Calibri"/>
      <family val="2"/>
      <scheme val="minor"/>
    </font>
    <font>
      <sz val="8"/>
      <color rgb="FF000000"/>
      <name val="Segoe UI"/>
      <family val="2"/>
    </font>
    <font>
      <sz val="11"/>
      <color theme="1"/>
      <name val="Aptos Narrow"/>
      <family val="2"/>
    </font>
    <font>
      <sz val="11"/>
      <color theme="1"/>
      <name val="Times New Roman"/>
      <family val="1"/>
    </font>
    <font>
      <b/>
      <sz val="11"/>
      <color theme="1" tint="0.249977111117893"/>
      <name val="Calibri"/>
      <family val="2"/>
      <scheme val="minor"/>
    </font>
    <font>
      <b/>
      <i/>
      <sz val="10"/>
      <color theme="1"/>
      <name val="Calibri"/>
      <family val="2"/>
      <scheme val="minor"/>
    </font>
    <font>
      <b/>
      <i/>
      <sz val="12"/>
      <color theme="1"/>
      <name val="Calibri"/>
      <family val="2"/>
      <scheme val="minor"/>
    </font>
    <font>
      <b/>
      <u/>
      <sz val="12"/>
      <color theme="1"/>
      <name val="Calibri"/>
      <family val="2"/>
      <scheme val="minor"/>
    </font>
    <font>
      <sz val="12"/>
      <color theme="0" tint="-0.499984740745262"/>
      <name val="Calibri"/>
      <family val="2"/>
      <scheme val="minor"/>
    </font>
    <font>
      <sz val="10"/>
      <color theme="1"/>
      <name val="Arial"/>
      <family val="2"/>
    </font>
    <font>
      <sz val="12"/>
      <color theme="0" tint="-0.34998626667073579"/>
      <name val="Calibri"/>
      <family val="2"/>
      <scheme val="minor"/>
    </font>
    <font>
      <vertAlign val="subscript"/>
      <sz val="12"/>
      <color theme="0" tint="-0.34998626667073579"/>
      <name val="Calibri"/>
      <family val="2"/>
      <scheme val="minor"/>
    </font>
    <font>
      <vertAlign val="subscript"/>
      <sz val="12"/>
      <color theme="1"/>
      <name val="Calibri"/>
      <family val="2"/>
      <scheme val="minor"/>
    </font>
    <font>
      <i/>
      <sz val="12"/>
      <color theme="1"/>
      <name val="Calibri"/>
      <family val="2"/>
      <scheme val="minor"/>
    </font>
    <font>
      <b/>
      <sz val="10"/>
      <color theme="1"/>
      <name val="Calibri"/>
      <family val="2"/>
      <scheme val="minor"/>
    </font>
    <font>
      <b/>
      <sz val="10"/>
      <color rgb="FFC00000"/>
      <name val="Calibri"/>
      <family val="2"/>
      <scheme val="minor"/>
    </font>
    <font>
      <b/>
      <sz val="10"/>
      <color theme="9" tint="-0.249977111117893"/>
      <name val="Calibri"/>
      <family val="2"/>
      <scheme val="minor"/>
    </font>
    <font>
      <sz val="12"/>
      <color rgb="FFFF0000"/>
      <name val="Calibri"/>
      <family val="2"/>
      <scheme val="minor"/>
    </font>
    <font>
      <b/>
      <sz val="12"/>
      <color theme="1" tint="0.499984740745262"/>
      <name val="Calibri"/>
      <family val="2"/>
      <scheme val="minor"/>
    </font>
    <font>
      <sz val="12"/>
      <color theme="1" tint="0.34998626667073579"/>
      <name val="Calibri"/>
      <family val="2"/>
      <scheme val="minor"/>
    </font>
    <font>
      <i/>
      <sz val="12"/>
      <name val="Calibri"/>
      <family val="2"/>
      <scheme val="minor"/>
    </font>
    <font>
      <b/>
      <sz val="12"/>
      <color theme="1" tint="0.249977111117893"/>
      <name val="Calibri"/>
      <family val="2"/>
      <scheme val="minor"/>
    </font>
    <font>
      <b/>
      <vertAlign val="subscript"/>
      <sz val="12"/>
      <color theme="1" tint="0.249977111117893"/>
      <name val="Calibri"/>
      <family val="2"/>
      <scheme val="minor"/>
    </font>
    <font>
      <i/>
      <sz val="11"/>
      <color theme="1" tint="0.14999847407452621"/>
      <name val="Calibri"/>
      <family val="2"/>
      <scheme val="minor"/>
    </font>
    <font>
      <b/>
      <sz val="11"/>
      <name val="Calibri"/>
      <family val="2"/>
      <scheme val="minor"/>
    </font>
    <font>
      <sz val="11"/>
      <color theme="4"/>
      <name val="Calibri"/>
      <family val="2"/>
      <scheme val="minor"/>
    </font>
    <font>
      <i/>
      <sz val="11"/>
      <color theme="1" tint="0.34998626667073579"/>
      <name val="Calibri"/>
      <family val="2"/>
      <scheme val="minor"/>
    </font>
    <font>
      <sz val="11"/>
      <color theme="1" tint="0.34998626667073579"/>
      <name val="Aptos Narrow"/>
      <family val="2"/>
    </font>
    <font>
      <sz val="10"/>
      <color theme="1"/>
      <name val="Aptos Serif"/>
      <family val="1"/>
    </font>
    <font>
      <b/>
      <sz val="16"/>
      <color theme="1"/>
      <name val="Aptos Serif"/>
      <family val="1"/>
    </font>
    <font>
      <b/>
      <sz val="10"/>
      <color theme="1"/>
      <name val="Aptos Serif"/>
      <family val="1"/>
    </font>
    <font>
      <sz val="11"/>
      <color theme="1"/>
      <name val="Aptos Serif"/>
      <family val="1"/>
    </font>
    <font>
      <sz val="10"/>
      <color theme="1" tint="0.34998626667073579"/>
      <name val="Aptos Serif"/>
      <family val="1"/>
    </font>
    <font>
      <sz val="10"/>
      <color theme="1" tint="0.499984740745262"/>
      <name val="Aptos Serif"/>
      <family val="1"/>
    </font>
    <font>
      <u/>
      <sz val="11"/>
      <color theme="9"/>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79998168889431442"/>
        <bgColor indexed="64"/>
      </patternFill>
    </fill>
  </fills>
  <borders count="15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9"/>
      </left>
      <right style="thin">
        <color theme="9"/>
      </right>
      <top style="thin">
        <color theme="9"/>
      </top>
      <bottom style="double">
        <color theme="9"/>
      </bottom>
      <diagonal/>
    </border>
    <border>
      <left/>
      <right/>
      <top/>
      <bottom style="thick">
        <color theme="0" tint="-0.24994659260841701"/>
      </bottom>
      <diagonal/>
    </border>
    <border>
      <left/>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1" tint="0.14996795556505021"/>
      </left>
      <right/>
      <top style="thin">
        <color theme="1" tint="0.14996795556505021"/>
      </top>
      <bottom/>
      <diagonal/>
    </border>
    <border>
      <left/>
      <right/>
      <top style="thin">
        <color theme="1" tint="0.14996795556505021"/>
      </top>
      <bottom/>
      <diagonal/>
    </border>
    <border>
      <left/>
      <right style="thin">
        <color theme="1" tint="0.14996795556505021"/>
      </right>
      <top style="thin">
        <color theme="1" tint="0.14996795556505021"/>
      </top>
      <bottom/>
      <diagonal/>
    </border>
    <border>
      <left style="thin">
        <color theme="1" tint="0.14996795556505021"/>
      </left>
      <right/>
      <top/>
      <bottom/>
      <diagonal/>
    </border>
    <border>
      <left/>
      <right style="thin">
        <color theme="1" tint="0.14996795556505021"/>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bottom style="thin">
        <color theme="0"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9"/>
      </right>
      <top/>
      <bottom/>
      <diagonal/>
    </border>
    <border>
      <left/>
      <right style="thin">
        <color theme="1" tint="0.14996795556505021"/>
      </right>
      <top style="thin">
        <color theme="0" tint="-0.34998626667073579"/>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top/>
      <bottom style="medium">
        <color indexed="64"/>
      </bottom>
      <diagonal/>
    </border>
    <border>
      <left style="thin">
        <color indexed="64"/>
      </left>
      <right style="thin">
        <color indexed="64"/>
      </right>
      <top/>
      <bottom/>
      <diagonal/>
    </border>
    <border>
      <left/>
      <right style="thin">
        <color indexed="64"/>
      </right>
      <top/>
      <bottom/>
      <diagonal/>
    </border>
    <border>
      <left/>
      <right style="thin">
        <color theme="1" tint="0.34998626667073579"/>
      </right>
      <top/>
      <bottom/>
      <diagonal/>
    </border>
    <border>
      <left/>
      <right/>
      <top/>
      <bottom style="medium">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n">
        <color theme="1" tint="0.34998626667073579"/>
      </right>
      <top style="thin">
        <color theme="0" tint="-0.249977111117893"/>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theme="1" tint="0.34998626667073579"/>
      </left>
      <right/>
      <top/>
      <bottom/>
      <diagonal/>
    </border>
    <border>
      <left/>
      <right style="thin">
        <color theme="1" tint="0.34998626667073579"/>
      </right>
      <top/>
      <bottom style="thin">
        <color theme="0" tint="-0.249977111117893"/>
      </bottom>
      <diagonal/>
    </border>
    <border>
      <left/>
      <right/>
      <top style="thin">
        <color theme="0" tint="-0.249977111117893"/>
      </top>
      <bottom/>
      <diagonal/>
    </border>
    <border>
      <left/>
      <right style="thin">
        <color theme="1" tint="0.34998626667073579"/>
      </right>
      <top style="medium">
        <color theme="0" tint="-0.249977111117893"/>
      </top>
      <bottom/>
      <diagonal/>
    </border>
    <border>
      <left style="thin">
        <color indexed="64"/>
      </left>
      <right style="thin">
        <color theme="1" tint="0.34998626667073579"/>
      </right>
      <top style="thin">
        <color indexed="64"/>
      </top>
      <bottom style="medium">
        <color theme="1" tint="0.499984740745262"/>
      </bottom>
      <diagonal/>
    </border>
    <border>
      <left style="thin">
        <color theme="1" tint="0.34998626667073579"/>
      </left>
      <right style="thin">
        <color theme="1" tint="0.34998626667073579"/>
      </right>
      <top style="thin">
        <color indexed="64"/>
      </top>
      <bottom style="medium">
        <color theme="1" tint="0.499984740745262"/>
      </bottom>
      <diagonal/>
    </border>
    <border>
      <left style="thin">
        <color theme="1" tint="0.34998626667073579"/>
      </left>
      <right style="thin">
        <color indexed="64"/>
      </right>
      <top style="thin">
        <color indexed="64"/>
      </top>
      <bottom style="medium">
        <color theme="1" tint="0.499984740745262"/>
      </bottom>
      <diagonal/>
    </border>
    <border>
      <left/>
      <right style="thin">
        <color indexed="64"/>
      </right>
      <top/>
      <bottom style="thin">
        <color indexed="64"/>
      </bottom>
      <diagonal/>
    </border>
    <border>
      <left style="thin">
        <color indexed="64"/>
      </left>
      <right/>
      <top/>
      <bottom style="thick">
        <color theme="4"/>
      </bottom>
      <diagonal/>
    </border>
    <border>
      <left/>
      <right/>
      <top style="medium">
        <color theme="0" tint="-0.249977111117893"/>
      </top>
      <bottom/>
      <diagonal/>
    </border>
    <border>
      <left/>
      <right/>
      <top style="thin">
        <color theme="0" tint="-0.24994659260841701"/>
      </top>
      <bottom/>
      <diagonal/>
    </border>
    <border>
      <left style="thin">
        <color theme="1" tint="0.34998626667073579"/>
      </left>
      <right/>
      <top/>
      <bottom style="thin">
        <color theme="0" tint="-0.249977111117893"/>
      </bottom>
      <diagonal/>
    </border>
    <border>
      <left style="thin">
        <color theme="1" tint="0.34998626667073579"/>
      </left>
      <right style="thin">
        <color theme="1" tint="0.34998626667073579"/>
      </right>
      <top/>
      <bottom style="thin">
        <color theme="0" tint="-0.249977111117893"/>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theme="0" tint="-0.499984740745262"/>
      </left>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left>
      <right style="thin">
        <color theme="0"/>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4.9989318521683403E-2"/>
      </left>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bottom style="medium">
        <color indexed="64"/>
      </bottom>
      <diagonal/>
    </border>
    <border>
      <left/>
      <right style="thin">
        <color theme="1"/>
      </right>
      <top/>
      <bottom/>
      <diagonal/>
    </border>
    <border>
      <left style="thin">
        <color theme="1"/>
      </left>
      <right/>
      <top/>
      <bottom style="thin">
        <color theme="1"/>
      </bottom>
      <diagonal/>
    </border>
    <border>
      <left/>
      <right style="thin">
        <color theme="1" tint="0.499984740745262"/>
      </right>
      <top/>
      <bottom/>
      <diagonal/>
    </border>
    <border>
      <left style="thin">
        <color indexed="64"/>
      </left>
      <right style="thin">
        <color indexed="64"/>
      </right>
      <top/>
      <bottom style="thin">
        <color theme="0" tint="-0.249977111117893"/>
      </bottom>
      <diagonal/>
    </border>
    <border>
      <left style="thin">
        <color theme="1" tint="0.34998626667073579"/>
      </left>
      <right style="thin">
        <color theme="1" tint="0.499984740745262"/>
      </right>
      <top/>
      <bottom/>
      <diagonal/>
    </border>
    <border>
      <left style="thin">
        <color theme="1" tint="0.34998626667073579"/>
      </left>
      <right style="thin">
        <color theme="1" tint="0.34998626667073579"/>
      </right>
      <top style="medium">
        <color theme="1" tint="0.249977111117893"/>
      </top>
      <bottom/>
      <diagonal/>
    </border>
    <border>
      <left/>
      <right/>
      <top style="medium">
        <color theme="1" tint="0.249977111117893"/>
      </top>
      <bottom/>
      <diagonal/>
    </border>
    <border>
      <left style="thin">
        <color theme="1" tint="0.34998626667073579"/>
      </left>
      <right/>
      <top style="medium">
        <color theme="1" tint="0.249977111117893"/>
      </top>
      <bottom/>
      <diagonal/>
    </border>
    <border>
      <left style="thin">
        <color indexed="64"/>
      </left>
      <right style="thin">
        <color indexed="64"/>
      </right>
      <top style="medium">
        <color theme="1" tint="0.249977111117893"/>
      </top>
      <bottom/>
      <diagonal/>
    </border>
    <border>
      <left style="thin">
        <color theme="1" tint="0.34998626667073579"/>
      </left>
      <right style="thin">
        <color theme="1" tint="0.34998626667073579"/>
      </right>
      <top/>
      <bottom style="medium">
        <color theme="1" tint="0.249977111117893"/>
      </bottom>
      <diagonal/>
    </border>
    <border>
      <left/>
      <right/>
      <top/>
      <bottom style="medium">
        <color theme="1" tint="0.249977111117893"/>
      </bottom>
      <diagonal/>
    </border>
    <border>
      <left style="thin">
        <color theme="1" tint="0.34998626667073579"/>
      </left>
      <right/>
      <top/>
      <bottom style="medium">
        <color theme="1" tint="0.249977111117893"/>
      </bottom>
      <diagonal/>
    </border>
    <border>
      <left style="thin">
        <color indexed="64"/>
      </left>
      <right style="thin">
        <color indexed="64"/>
      </right>
      <top/>
      <bottom style="medium">
        <color theme="1" tint="0.249977111117893"/>
      </bottom>
      <diagonal/>
    </border>
    <border>
      <left style="thin">
        <color theme="1" tint="0.34998626667073579"/>
      </left>
      <right style="medium">
        <color theme="1" tint="0.249977111117893"/>
      </right>
      <top style="medium">
        <color theme="1" tint="0.249977111117893"/>
      </top>
      <bottom/>
      <diagonal/>
    </border>
    <border>
      <left style="thin">
        <color theme="1" tint="0.34998626667073579"/>
      </left>
      <right style="medium">
        <color theme="1" tint="0.249977111117893"/>
      </right>
      <top/>
      <bottom/>
      <diagonal/>
    </border>
    <border>
      <left style="thin">
        <color theme="1" tint="0.34998626667073579"/>
      </left>
      <right style="medium">
        <color theme="1" tint="0.249977111117893"/>
      </right>
      <top/>
      <bottom style="thin">
        <color theme="0" tint="-0.249977111117893"/>
      </bottom>
      <diagonal/>
    </border>
    <border>
      <left style="thin">
        <color theme="1" tint="0.34998626667073579"/>
      </left>
      <right style="medium">
        <color theme="1" tint="0.249977111117893"/>
      </right>
      <top/>
      <bottom style="medium">
        <color theme="1" tint="0.249977111117893"/>
      </bottom>
      <diagonal/>
    </border>
    <border>
      <left style="thin">
        <color theme="1" tint="0.34998626667073579"/>
      </left>
      <right style="thin">
        <color theme="1" tint="0.34998626667073579"/>
      </right>
      <top style="thin">
        <color theme="0" tint="-0.249977111117893"/>
      </top>
      <bottom/>
      <diagonal/>
    </border>
    <border>
      <left style="thin">
        <color theme="1" tint="0.34998626667073579"/>
      </left>
      <right/>
      <top style="thin">
        <color theme="0" tint="-0.249977111117893"/>
      </top>
      <bottom/>
      <diagonal/>
    </border>
    <border>
      <left style="thin">
        <color theme="1" tint="0.34998626667073579"/>
      </left>
      <right style="medium">
        <color theme="1" tint="0.249977111117893"/>
      </right>
      <top style="thin">
        <color theme="0" tint="-0.249977111117893"/>
      </top>
      <bottom/>
      <diagonal/>
    </border>
    <border>
      <left style="medium">
        <color theme="1" tint="0.249977111117893"/>
      </left>
      <right style="thin">
        <color theme="1" tint="0.34998626667073579"/>
      </right>
      <top style="medium">
        <color theme="1" tint="0.249977111117893"/>
      </top>
      <bottom/>
      <diagonal/>
    </border>
    <border>
      <left style="medium">
        <color theme="1" tint="0.249977111117893"/>
      </left>
      <right style="thin">
        <color theme="1" tint="0.34998626667073579"/>
      </right>
      <top/>
      <bottom/>
      <diagonal/>
    </border>
    <border>
      <left style="medium">
        <color theme="1" tint="0.249977111117893"/>
      </left>
      <right style="thin">
        <color theme="1" tint="0.34998626667073579"/>
      </right>
      <top/>
      <bottom style="thin">
        <color theme="0" tint="-0.249977111117893"/>
      </bottom>
      <diagonal/>
    </border>
    <border>
      <left style="medium">
        <color theme="1" tint="0.249977111117893"/>
      </left>
      <right style="thin">
        <color theme="1" tint="0.34998626667073579"/>
      </right>
      <top/>
      <bottom style="medium">
        <color theme="1" tint="0.249977111117893"/>
      </bottom>
      <diagonal/>
    </border>
    <border>
      <left style="medium">
        <color theme="1" tint="0.249977111117893"/>
      </left>
      <right style="thin">
        <color theme="1" tint="0.34998626667073579"/>
      </right>
      <top style="thin">
        <color theme="0" tint="-0.249977111117893"/>
      </top>
      <bottom/>
      <diagonal/>
    </border>
    <border>
      <left/>
      <right style="thin">
        <color indexed="64"/>
      </right>
      <top/>
      <bottom style="medium">
        <color theme="0" tint="-0.249977111117893"/>
      </bottom>
      <diagonal/>
    </border>
    <border>
      <left/>
      <right/>
      <top/>
      <bottom style="thin">
        <color theme="1"/>
      </bottom>
      <diagonal/>
    </border>
    <border>
      <left style="thin">
        <color indexed="64"/>
      </left>
      <right/>
      <top style="thin">
        <color theme="1"/>
      </top>
      <bottom/>
      <diagonal/>
    </border>
    <border>
      <left style="thin">
        <color indexed="64"/>
      </left>
      <right/>
      <top/>
      <bottom style="thin">
        <color theme="1"/>
      </bottom>
      <diagonal/>
    </border>
    <border>
      <left/>
      <right style="thin">
        <color auto="1"/>
      </right>
      <top style="thin">
        <color auto="1"/>
      </top>
      <bottom style="thin">
        <color auto="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medium">
        <color theme="1" tint="0.249977111117893"/>
      </left>
      <right/>
      <top/>
      <bottom/>
      <diagonal/>
    </border>
    <border>
      <left style="thin">
        <color theme="1" tint="0.34998626667073579"/>
      </left>
      <right style="thin">
        <color theme="1" tint="0.34998626667073579"/>
      </right>
      <top style="medium">
        <color theme="1" tint="0.499984740745262"/>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theme="0" tint="-0.499984740745262"/>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auto="1"/>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medium">
        <color theme="0" tint="-0.249977111117893"/>
      </top>
      <bottom style="medium">
        <color indexed="64"/>
      </bottom>
      <diagonal/>
    </border>
    <border>
      <left style="thin">
        <color theme="0" tint="-0.14999847407452621"/>
      </left>
      <right style="medium">
        <color indexed="64"/>
      </right>
      <top/>
      <bottom/>
      <diagonal/>
    </border>
    <border>
      <left/>
      <right style="thin">
        <color theme="1" tint="0.34998626667073579"/>
      </right>
      <top/>
      <bottom style="thin">
        <color theme="1" tint="0.34998626667073579"/>
      </bottom>
      <diagonal/>
    </border>
    <border>
      <left/>
      <right style="thin">
        <color theme="1" tint="0.34998626667073579"/>
      </right>
      <top/>
      <bottom style="thin">
        <color theme="0" tint="-0.34998626667073579"/>
      </bottom>
      <diagonal/>
    </border>
    <border>
      <left style="thin">
        <color theme="1" tint="0.34998626667073579"/>
      </left>
      <right/>
      <top/>
      <bottom style="thin">
        <color theme="0" tint="-0.34998626667073579"/>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2" fillId="0" borderId="0" applyNumberFormat="0" applyFill="0" applyBorder="0" applyAlignment="0" applyProtection="0"/>
  </cellStyleXfs>
  <cellXfs count="778">
    <xf numFmtId="0" fontId="0" fillId="0" borderId="0" xfId="0"/>
    <xf numFmtId="0" fontId="16" fillId="0" borderId="0" xfId="0" applyFont="1"/>
    <xf numFmtId="0" fontId="3" fillId="0" borderId="1" xfId="3"/>
    <xf numFmtId="0" fontId="3" fillId="0" borderId="1" xfId="3" applyAlignment="1">
      <alignment horizontal="right"/>
    </xf>
    <xf numFmtId="0" fontId="18" fillId="0" borderId="0" xfId="0" applyFont="1"/>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164" fontId="0" fillId="0" borderId="0" xfId="0" applyNumberFormat="1"/>
    <xf numFmtId="1" fontId="0" fillId="0" borderId="0" xfId="0" applyNumberFormat="1"/>
    <xf numFmtId="2" fontId="0" fillId="0" borderId="0" xfId="0" applyNumberFormat="1"/>
    <xf numFmtId="9" fontId="0" fillId="0" borderId="0" xfId="0" applyNumberFormat="1" applyAlignment="1">
      <alignment horizontal="right"/>
    </xf>
    <xf numFmtId="9" fontId="0" fillId="0" borderId="0" xfId="0" applyNumberFormat="1"/>
    <xf numFmtId="11" fontId="0" fillId="0" borderId="0" xfId="0" applyNumberFormat="1"/>
    <xf numFmtId="0" fontId="20" fillId="0" borderId="0" xfId="6" applyFont="1"/>
    <xf numFmtId="0" fontId="23" fillId="0" borderId="0" xfId="6" applyFont="1"/>
    <xf numFmtId="0" fontId="0" fillId="33" borderId="0" xfId="0" applyFill="1"/>
    <xf numFmtId="0" fontId="0" fillId="34" borderId="0" xfId="0" applyFill="1"/>
    <xf numFmtId="0" fontId="19" fillId="34" borderId="0" xfId="0" applyFont="1" applyFill="1"/>
    <xf numFmtId="0" fontId="16" fillId="34" borderId="0" xfId="0" applyFont="1" applyFill="1" applyAlignment="1">
      <alignment horizontal="center"/>
    </xf>
    <xf numFmtId="0" fontId="28" fillId="34" borderId="0" xfId="6" applyFont="1" applyFill="1" applyAlignment="1">
      <alignment horizontal="right"/>
    </xf>
    <xf numFmtId="0" fontId="0" fillId="36" borderId="0" xfId="0" applyFill="1"/>
    <xf numFmtId="0" fontId="0" fillId="34" borderId="13" xfId="0" applyFill="1" applyBorder="1"/>
    <xf numFmtId="0" fontId="0" fillId="34" borderId="14" xfId="0" applyFill="1" applyBorder="1"/>
    <xf numFmtId="0" fontId="26" fillId="36" borderId="0" xfId="0" applyFont="1" applyFill="1"/>
    <xf numFmtId="0" fontId="2" fillId="36" borderId="0" xfId="2" applyFill="1"/>
    <xf numFmtId="0" fontId="0" fillId="34" borderId="15" xfId="0" applyFill="1" applyBorder="1"/>
    <xf numFmtId="0" fontId="0" fillId="34" borderId="16" xfId="0" applyFill="1" applyBorder="1"/>
    <xf numFmtId="0" fontId="19" fillId="34" borderId="16" xfId="0" applyFont="1" applyFill="1" applyBorder="1"/>
    <xf numFmtId="0" fontId="0" fillId="36" borderId="18" xfId="0" applyFill="1" applyBorder="1"/>
    <xf numFmtId="0" fontId="0" fillId="36" borderId="19" xfId="0" applyFill="1" applyBorder="1"/>
    <xf numFmtId="0" fontId="0" fillId="36" borderId="20" xfId="0" applyFill="1" applyBorder="1"/>
    <xf numFmtId="0" fontId="0" fillId="36" borderId="21" xfId="0" applyFill="1" applyBorder="1"/>
    <xf numFmtId="0" fontId="0" fillId="36" borderId="22" xfId="0" applyFill="1" applyBorder="1"/>
    <xf numFmtId="0" fontId="30" fillId="36" borderId="0" xfId="2" applyFont="1" applyFill="1"/>
    <xf numFmtId="0" fontId="24" fillId="34" borderId="0" xfId="6" applyFont="1" applyFill="1" applyAlignment="1">
      <alignment vertical="center"/>
    </xf>
    <xf numFmtId="0" fontId="29" fillId="34" borderId="0" xfId="6" applyFont="1" applyFill="1" applyAlignment="1">
      <alignment vertical="center"/>
    </xf>
    <xf numFmtId="165" fontId="29" fillId="33" borderId="23" xfId="6" applyNumberFormat="1" applyFont="1" applyFill="1" applyBorder="1" applyAlignment="1">
      <alignment horizontal="center" vertical="center"/>
    </xf>
    <xf numFmtId="165" fontId="29" fillId="33" borderId="24" xfId="6" applyNumberFormat="1" applyFont="1" applyFill="1" applyBorder="1" applyAlignment="1">
      <alignment horizontal="center" vertical="center"/>
    </xf>
    <xf numFmtId="165" fontId="29" fillId="33" borderId="25" xfId="6" applyNumberFormat="1" applyFont="1" applyFill="1" applyBorder="1" applyAlignment="1">
      <alignment horizontal="center" vertical="center"/>
    </xf>
    <xf numFmtId="0" fontId="29" fillId="34" borderId="26" xfId="6" applyFont="1" applyFill="1" applyBorder="1" applyAlignment="1">
      <alignment vertical="center"/>
    </xf>
    <xf numFmtId="0" fontId="31" fillId="34" borderId="0" xfId="0" applyFont="1" applyFill="1" applyAlignment="1">
      <alignment horizontal="right" vertical="center"/>
    </xf>
    <xf numFmtId="166" fontId="29" fillId="33" borderId="24" xfId="6" applyNumberFormat="1" applyFont="1" applyFill="1" applyBorder="1" applyAlignment="1">
      <alignment horizontal="center" vertical="center"/>
    </xf>
    <xf numFmtId="0" fontId="0" fillId="34" borderId="0" xfId="0" applyFill="1" applyAlignment="1">
      <alignment vertical="center"/>
    </xf>
    <xf numFmtId="0" fontId="0" fillId="34" borderId="14" xfId="0" applyFill="1" applyBorder="1" applyAlignment="1">
      <alignment vertical="center"/>
    </xf>
    <xf numFmtId="0" fontId="39" fillId="36" borderId="12" xfId="43" applyFont="1" applyFill="1" applyBorder="1" applyAlignment="1">
      <alignment vertical="center"/>
    </xf>
    <xf numFmtId="0" fontId="38" fillId="36" borderId="0" xfId="0" applyFont="1" applyFill="1" applyAlignment="1">
      <alignment vertical="center"/>
    </xf>
    <xf numFmtId="0" fontId="0" fillId="0" borderId="0" xfId="0" applyProtection="1">
      <protection locked="0"/>
    </xf>
    <xf numFmtId="0" fontId="16" fillId="33" borderId="10" xfId="0" applyFont="1" applyFill="1" applyBorder="1" applyAlignment="1" applyProtection="1">
      <alignment horizontal="center"/>
      <protection locked="0"/>
    </xf>
    <xf numFmtId="0" fontId="31" fillId="34" borderId="0" xfId="0" applyFont="1" applyFill="1"/>
    <xf numFmtId="0" fontId="0" fillId="34" borderId="30" xfId="0" applyFill="1" applyBorder="1"/>
    <xf numFmtId="0" fontId="0" fillId="34" borderId="31" xfId="0" applyFill="1" applyBorder="1"/>
    <xf numFmtId="0" fontId="0" fillId="34" borderId="32" xfId="0" applyFill="1" applyBorder="1"/>
    <xf numFmtId="0" fontId="0" fillId="34" borderId="33" xfId="0" applyFill="1" applyBorder="1"/>
    <xf numFmtId="0" fontId="0" fillId="34" borderId="34" xfId="0" applyFill="1" applyBorder="1"/>
    <xf numFmtId="0" fontId="0" fillId="34" borderId="35" xfId="0" applyFill="1" applyBorder="1"/>
    <xf numFmtId="0" fontId="0" fillId="34" borderId="36" xfId="0" applyFill="1" applyBorder="1"/>
    <xf numFmtId="0" fontId="0" fillId="34" borderId="37" xfId="0" applyFill="1" applyBorder="1"/>
    <xf numFmtId="10" fontId="0" fillId="0" borderId="0" xfId="0" applyNumberFormat="1"/>
    <xf numFmtId="0" fontId="29" fillId="34" borderId="41" xfId="6" applyFont="1" applyFill="1" applyBorder="1" applyAlignment="1">
      <alignment vertical="center"/>
    </xf>
    <xf numFmtId="165" fontId="29" fillId="33" borderId="41" xfId="6" applyNumberFormat="1" applyFont="1" applyFill="1" applyBorder="1" applyAlignment="1">
      <alignment horizontal="center" vertical="center"/>
    </xf>
    <xf numFmtId="168" fontId="0" fillId="0" borderId="0" xfId="0" applyNumberFormat="1"/>
    <xf numFmtId="0" fontId="13" fillId="0" borderId="0" xfId="6" applyFont="1"/>
    <xf numFmtId="0" fontId="17" fillId="0" borderId="0" xfId="0" applyFont="1"/>
    <xf numFmtId="0" fontId="0" fillId="35" borderId="13" xfId="0" applyFill="1" applyBorder="1"/>
    <xf numFmtId="0" fontId="29" fillId="35" borderId="43" xfId="6" applyFont="1" applyFill="1" applyBorder="1" applyAlignment="1">
      <alignment vertical="center"/>
    </xf>
    <xf numFmtId="0" fontId="42" fillId="35" borderId="0" xfId="6" applyFont="1" applyFill="1" applyAlignment="1">
      <alignment horizontal="left" vertical="center" indent="5"/>
    </xf>
    <xf numFmtId="0" fontId="31" fillId="35" borderId="0" xfId="0" applyFont="1" applyFill="1"/>
    <xf numFmtId="0" fontId="0" fillId="35" borderId="0" xfId="0" applyFill="1"/>
    <xf numFmtId="0" fontId="0" fillId="35" borderId="14" xfId="0" applyFill="1" applyBorder="1"/>
    <xf numFmtId="0" fontId="29" fillId="35" borderId="44" xfId="6" applyFont="1" applyFill="1" applyBorder="1" applyAlignment="1">
      <alignment vertical="center"/>
    </xf>
    <xf numFmtId="0" fontId="42" fillId="35" borderId="0" xfId="6" applyFont="1" applyFill="1" applyAlignment="1">
      <alignment vertical="center"/>
    </xf>
    <xf numFmtId="0" fontId="31" fillId="35" borderId="0" xfId="0" quotePrefix="1" applyFont="1" applyFill="1" applyAlignment="1">
      <alignment horizontal="left" vertical="center"/>
    </xf>
    <xf numFmtId="0" fontId="29" fillId="35" borderId="0" xfId="6" applyFont="1" applyFill="1" applyAlignment="1">
      <alignment vertical="center"/>
    </xf>
    <xf numFmtId="0" fontId="20" fillId="35" borderId="0" xfId="6" applyFont="1" applyFill="1"/>
    <xf numFmtId="0" fontId="33" fillId="35" borderId="0" xfId="6" applyFont="1" applyFill="1" applyAlignment="1">
      <alignment vertical="center"/>
    </xf>
    <xf numFmtId="0" fontId="13" fillId="0" borderId="0" xfId="0" applyFont="1" applyAlignment="1">
      <alignment horizontal="center"/>
    </xf>
    <xf numFmtId="11" fontId="16" fillId="0" borderId="0" xfId="0" applyNumberFormat="1" applyFont="1"/>
    <xf numFmtId="0" fontId="33" fillId="35" borderId="11" xfId="3" applyFont="1" applyFill="1" applyBorder="1"/>
    <xf numFmtId="0" fontId="27" fillId="35" borderId="11" xfId="3" applyFont="1" applyFill="1" applyBorder="1"/>
    <xf numFmtId="0" fontId="0" fillId="35" borderId="11" xfId="0" applyFill="1" applyBorder="1"/>
    <xf numFmtId="0" fontId="5" fillId="35" borderId="0" xfId="6" applyFill="1" applyAlignment="1">
      <alignment horizontal="center"/>
    </xf>
    <xf numFmtId="0" fontId="0" fillId="35" borderId="0" xfId="0" applyFill="1" applyAlignment="1">
      <alignment vertical="center"/>
    </xf>
    <xf numFmtId="0" fontId="28" fillId="35" borderId="0" xfId="6" applyFont="1" applyFill="1" applyAlignment="1">
      <alignment horizontal="right"/>
    </xf>
    <xf numFmtId="0" fontId="22" fillId="35" borderId="0" xfId="0" applyFont="1" applyFill="1"/>
    <xf numFmtId="0" fontId="22" fillId="35" borderId="14" xfId="0" applyFont="1" applyFill="1" applyBorder="1"/>
    <xf numFmtId="0" fontId="5" fillId="35" borderId="0" xfId="6" applyFill="1" applyAlignment="1">
      <alignment horizontal="right"/>
    </xf>
    <xf numFmtId="0" fontId="35" fillId="35" borderId="0" xfId="0" applyFont="1" applyFill="1" applyAlignment="1">
      <alignment horizontal="right" vertical="center"/>
    </xf>
    <xf numFmtId="0" fontId="35" fillId="35" borderId="0" xfId="0" applyFont="1" applyFill="1" applyAlignment="1">
      <alignment vertical="center"/>
    </xf>
    <xf numFmtId="0" fontId="0" fillId="35" borderId="14" xfId="0" applyFill="1" applyBorder="1" applyAlignment="1">
      <alignment vertical="center"/>
    </xf>
    <xf numFmtId="0" fontId="40" fillId="35" borderId="0" xfId="0" applyFont="1" applyFill="1"/>
    <xf numFmtId="0" fontId="0" fillId="35" borderId="16" xfId="0" applyFill="1" applyBorder="1"/>
    <xf numFmtId="0" fontId="0" fillId="35" borderId="17" xfId="0" applyFill="1" applyBorder="1"/>
    <xf numFmtId="0" fontId="16" fillId="34" borderId="10" xfId="0" applyFont="1" applyFill="1" applyBorder="1" applyAlignment="1" applyProtection="1">
      <alignment horizontal="center"/>
      <protection locked="0"/>
    </xf>
    <xf numFmtId="9" fontId="16" fillId="34" borderId="10" xfId="1" applyFont="1" applyFill="1" applyBorder="1" applyAlignment="1" applyProtection="1">
      <alignment horizontal="center"/>
      <protection locked="0"/>
    </xf>
    <xf numFmtId="0" fontId="28" fillId="35" borderId="0" xfId="0" applyFont="1" applyFill="1" applyAlignment="1">
      <alignment horizontal="left"/>
    </xf>
    <xf numFmtId="0" fontId="28" fillId="35" borderId="0" xfId="0" applyFont="1" applyFill="1" applyAlignment="1">
      <alignment horizontal="right"/>
    </xf>
    <xf numFmtId="0" fontId="45" fillId="35" borderId="0" xfId="0" applyFont="1" applyFill="1"/>
    <xf numFmtId="0" fontId="45" fillId="35" borderId="0" xfId="0" applyFont="1" applyFill="1" applyAlignment="1">
      <alignment horizontal="left"/>
    </xf>
    <xf numFmtId="0" fontId="46" fillId="35" borderId="0" xfId="0" applyFont="1" applyFill="1"/>
    <xf numFmtId="0" fontId="47" fillId="34" borderId="0" xfId="0" quotePrefix="1" applyFont="1" applyFill="1" applyAlignment="1">
      <alignment vertical="center"/>
    </xf>
    <xf numFmtId="0" fontId="47" fillId="34" borderId="14" xfId="0" quotePrefix="1" applyFont="1" applyFill="1" applyBorder="1" applyAlignment="1">
      <alignment vertical="center"/>
    </xf>
    <xf numFmtId="0" fontId="47" fillId="34" borderId="0" xfId="0" applyFont="1" applyFill="1" applyAlignment="1">
      <alignment horizontal="right"/>
    </xf>
    <xf numFmtId="0" fontId="48" fillId="34" borderId="0" xfId="0" applyFont="1" applyFill="1" applyAlignment="1">
      <alignment horizontal="left" vertical="center"/>
    </xf>
    <xf numFmtId="0" fontId="49" fillId="34" borderId="13" xfId="0" applyFont="1" applyFill="1" applyBorder="1" applyAlignment="1">
      <alignment horizontal="right" vertical="center"/>
    </xf>
    <xf numFmtId="0" fontId="13" fillId="36" borderId="14" xfId="0" applyFont="1" applyFill="1" applyBorder="1" applyAlignment="1">
      <alignment horizontal="center" vertical="center"/>
    </xf>
    <xf numFmtId="0" fontId="28" fillId="35" borderId="0" xfId="6" applyFont="1" applyFill="1" applyAlignment="1">
      <alignment horizontal="left"/>
    </xf>
    <xf numFmtId="0" fontId="28" fillId="35" borderId="0" xfId="6" applyFont="1" applyFill="1" applyAlignment="1">
      <alignment horizontal="right" vertical="center"/>
    </xf>
    <xf numFmtId="0" fontId="21" fillId="35" borderId="0" xfId="6" applyFont="1" applyFill="1" applyAlignment="1">
      <alignment horizontal="right" vertical="center"/>
    </xf>
    <xf numFmtId="165" fontId="0" fillId="0" borderId="0" xfId="0" applyNumberFormat="1"/>
    <xf numFmtId="0" fontId="0" fillId="35" borderId="43" xfId="0" applyFill="1" applyBorder="1" applyAlignment="1">
      <alignment vertical="top"/>
    </xf>
    <xf numFmtId="0" fontId="50" fillId="35" borderId="43" xfId="0" applyFont="1" applyFill="1" applyBorder="1" applyAlignment="1">
      <alignment vertical="top"/>
    </xf>
    <xf numFmtId="166" fontId="29" fillId="33" borderId="0" xfId="6" applyNumberFormat="1" applyFont="1" applyFill="1" applyAlignment="1">
      <alignment horizontal="center" vertical="center"/>
    </xf>
    <xf numFmtId="0" fontId="47" fillId="34" borderId="0" xfId="0" quotePrefix="1" applyFont="1" applyFill="1"/>
    <xf numFmtId="2" fontId="29" fillId="33" borderId="24" xfId="6" applyNumberFormat="1" applyFont="1" applyFill="1" applyBorder="1" applyAlignment="1">
      <alignment horizontal="center" vertical="center"/>
    </xf>
    <xf numFmtId="2" fontId="29" fillId="33" borderId="41" xfId="6" applyNumberFormat="1" applyFont="1" applyFill="1" applyBorder="1" applyAlignment="1">
      <alignment horizontal="center" vertical="center"/>
    </xf>
    <xf numFmtId="2" fontId="29" fillId="33" borderId="23" xfId="6" applyNumberFormat="1" applyFont="1" applyFill="1" applyBorder="1" applyAlignment="1">
      <alignment horizontal="center" vertical="center"/>
    </xf>
    <xf numFmtId="0" fontId="28" fillId="35" borderId="0" xfId="6" applyFont="1" applyFill="1" applyAlignment="1">
      <alignment horizontal="left" vertical="center" indent="3"/>
    </xf>
    <xf numFmtId="0" fontId="16" fillId="34" borderId="10" xfId="0" applyFont="1" applyFill="1" applyBorder="1" applyAlignment="1" applyProtection="1">
      <alignment horizontal="center" vertical="center"/>
      <protection locked="0"/>
    </xf>
    <xf numFmtId="0" fontId="51" fillId="35" borderId="0" xfId="0" applyFont="1" applyFill="1"/>
    <xf numFmtId="0" fontId="50" fillId="35" borderId="0" xfId="6" applyFont="1" applyFill="1" applyAlignment="1">
      <alignment horizontal="right" vertical="center"/>
    </xf>
    <xf numFmtId="165" fontId="16" fillId="34" borderId="10" xfId="0" applyNumberFormat="1" applyFont="1" applyFill="1" applyBorder="1" applyAlignment="1" applyProtection="1">
      <alignment horizontal="center"/>
      <protection locked="0"/>
    </xf>
    <xf numFmtId="0" fontId="52" fillId="35" borderId="0" xfId="0" applyFont="1" applyFill="1" applyAlignment="1">
      <alignment vertical="top"/>
    </xf>
    <xf numFmtId="0" fontId="42" fillId="34" borderId="0" xfId="0" applyFont="1" applyFill="1"/>
    <xf numFmtId="0" fontId="53" fillId="34" borderId="0" xfId="6" applyFont="1" applyFill="1" applyAlignment="1">
      <alignment horizontal="left"/>
    </xf>
    <xf numFmtId="0" fontId="55" fillId="34" borderId="0" xfId="0" applyFont="1" applyFill="1" applyAlignment="1">
      <alignment horizontal="right"/>
    </xf>
    <xf numFmtId="0" fontId="54" fillId="34" borderId="0" xfId="0" applyFont="1" applyFill="1" applyAlignment="1">
      <alignment horizontal="left"/>
    </xf>
    <xf numFmtId="0" fontId="57" fillId="34" borderId="43" xfId="0" applyFont="1" applyFill="1" applyBorder="1" applyAlignment="1">
      <alignment horizontal="right"/>
    </xf>
    <xf numFmtId="0" fontId="31" fillId="35" borderId="0" xfId="0" applyFont="1" applyFill="1" applyAlignment="1">
      <alignment vertical="top"/>
    </xf>
    <xf numFmtId="164" fontId="59" fillId="0" borderId="0" xfId="0" applyNumberFormat="1" applyFont="1"/>
    <xf numFmtId="165" fontId="16" fillId="33" borderId="10" xfId="0" applyNumberFormat="1" applyFont="1" applyFill="1" applyBorder="1" applyAlignment="1" applyProtection="1">
      <alignment horizontal="center"/>
      <protection locked="0"/>
    </xf>
    <xf numFmtId="0" fontId="0" fillId="34" borderId="0" xfId="0" applyFill="1" applyAlignment="1">
      <alignment horizontal="center"/>
    </xf>
    <xf numFmtId="0" fontId="33" fillId="34" borderId="11" xfId="3" applyFont="1" applyFill="1" applyBorder="1" applyAlignment="1">
      <alignment horizontal="left"/>
    </xf>
    <xf numFmtId="0" fontId="31" fillId="34" borderId="0" xfId="0" applyFont="1" applyFill="1" applyAlignment="1">
      <alignment horizontal="left" vertical="center"/>
    </xf>
    <xf numFmtId="0" fontId="28" fillId="34" borderId="0" xfId="6" applyFont="1" applyFill="1" applyAlignment="1">
      <alignment horizontal="left"/>
    </xf>
    <xf numFmtId="0" fontId="28" fillId="34" borderId="0" xfId="6" applyFont="1" applyFill="1" applyAlignment="1">
      <alignment horizontal="left" indent="2"/>
    </xf>
    <xf numFmtId="0" fontId="29" fillId="34" borderId="0" xfId="0" applyFont="1" applyFill="1" applyAlignment="1">
      <alignment horizontal="center" vertical="center"/>
    </xf>
    <xf numFmtId="167" fontId="29" fillId="33" borderId="24" xfId="6" applyNumberFormat="1" applyFont="1" applyFill="1" applyBorder="1" applyAlignment="1">
      <alignment horizontal="center" vertical="center"/>
    </xf>
    <xf numFmtId="167" fontId="29" fillId="33" borderId="23" xfId="6" applyNumberFormat="1" applyFont="1" applyFill="1" applyBorder="1" applyAlignment="1">
      <alignment horizontal="center" vertical="center"/>
    </xf>
    <xf numFmtId="166" fontId="29" fillId="33" borderId="49" xfId="6" applyNumberFormat="1" applyFont="1" applyFill="1" applyBorder="1" applyAlignment="1">
      <alignment horizontal="center" vertical="center"/>
    </xf>
    <xf numFmtId="9" fontId="0" fillId="0" borderId="46" xfId="0" applyNumberFormat="1" applyBorder="1"/>
    <xf numFmtId="0" fontId="0" fillId="0" borderId="46" xfId="0" applyBorder="1"/>
    <xf numFmtId="0" fontId="0" fillId="0" borderId="0" xfId="0" applyAlignment="1">
      <alignment horizontal="center" vertical="center"/>
    </xf>
    <xf numFmtId="0" fontId="29" fillId="33" borderId="53" xfId="6" applyFont="1" applyFill="1" applyBorder="1" applyAlignment="1">
      <alignment horizontal="center" vertical="center"/>
    </xf>
    <xf numFmtId="0" fontId="29" fillId="33" borderId="54" xfId="6" applyFont="1" applyFill="1" applyBorder="1" applyAlignment="1">
      <alignment horizontal="center" vertical="center"/>
    </xf>
    <xf numFmtId="0" fontId="29" fillId="33" borderId="55" xfId="6" applyFont="1" applyFill="1" applyBorder="1" applyAlignment="1">
      <alignment horizontal="center" vertical="center"/>
    </xf>
    <xf numFmtId="2" fontId="0" fillId="0" borderId="0" xfId="0" applyNumberFormat="1" applyAlignment="1">
      <alignment horizontal="center"/>
    </xf>
    <xf numFmtId="165" fontId="0" fillId="0" borderId="0" xfId="0" applyNumberFormat="1" applyAlignment="1">
      <alignment horizontal="center"/>
    </xf>
    <xf numFmtId="0" fontId="58" fillId="0" borderId="0" xfId="0" applyFont="1"/>
    <xf numFmtId="165" fontId="58" fillId="0" borderId="0" xfId="0" applyNumberFormat="1" applyFont="1"/>
    <xf numFmtId="0" fontId="58" fillId="0" borderId="0" xfId="0" applyFont="1" applyAlignment="1">
      <alignment horizontal="right"/>
    </xf>
    <xf numFmtId="0" fontId="0" fillId="0" borderId="0" xfId="0" applyAlignment="1">
      <alignment horizontal="left" vertical="center"/>
    </xf>
    <xf numFmtId="0" fontId="42" fillId="35" borderId="0" xfId="6" applyFont="1" applyFill="1" applyBorder="1" applyAlignment="1">
      <alignment vertical="center"/>
    </xf>
    <xf numFmtId="0" fontId="31" fillId="35" borderId="0" xfId="0" applyFont="1" applyFill="1" applyAlignment="1">
      <alignment vertical="center"/>
    </xf>
    <xf numFmtId="0" fontId="42" fillId="35" borderId="0" xfId="6" applyFont="1" applyFill="1" applyAlignment="1">
      <alignment horizontal="center" vertical="center"/>
    </xf>
    <xf numFmtId="0" fontId="31" fillId="35" borderId="0" xfId="0" applyFont="1" applyFill="1" applyAlignment="1">
      <alignment horizontal="left" vertical="center"/>
    </xf>
    <xf numFmtId="0" fontId="42" fillId="35" borderId="0" xfId="6" applyFont="1" applyFill="1" applyAlignment="1">
      <alignment horizontal="left" vertical="center"/>
    </xf>
    <xf numFmtId="0" fontId="0" fillId="0" borderId="47" xfId="0" applyBorder="1"/>
    <xf numFmtId="0" fontId="29" fillId="34" borderId="0" xfId="6" applyFont="1" applyFill="1" applyBorder="1" applyAlignment="1">
      <alignment vertical="center"/>
    </xf>
    <xf numFmtId="0" fontId="3" fillId="0" borderId="57" xfId="3" applyBorder="1"/>
    <xf numFmtId="0" fontId="16" fillId="0" borderId="47" xfId="0" applyFont="1" applyBorder="1"/>
    <xf numFmtId="9" fontId="0" fillId="0" borderId="0" xfId="1" applyFont="1"/>
    <xf numFmtId="0" fontId="42" fillId="35" borderId="0" xfId="6" applyFont="1" applyFill="1" applyAlignment="1">
      <alignment horizontal="left" vertical="center" indent="3"/>
    </xf>
    <xf numFmtId="0" fontId="27" fillId="0" borderId="1" xfId="3" applyFont="1"/>
    <xf numFmtId="0" fontId="21" fillId="0" borderId="0" xfId="0" applyFont="1"/>
    <xf numFmtId="2" fontId="0" fillId="0" borderId="0" xfId="0" applyNumberFormat="1" applyAlignment="1">
      <alignment horizontal="left"/>
    </xf>
    <xf numFmtId="0" fontId="66" fillId="0" borderId="0" xfId="0" applyFont="1"/>
    <xf numFmtId="0" fontId="31" fillId="34" borderId="0" xfId="0" applyFont="1" applyFill="1" applyAlignment="1">
      <alignment vertical="top"/>
    </xf>
    <xf numFmtId="0" fontId="33" fillId="34" borderId="0" xfId="3" applyFont="1" applyFill="1" applyBorder="1" applyAlignment="1"/>
    <xf numFmtId="0" fontId="44" fillId="34" borderId="0" xfId="6" quotePrefix="1" applyFont="1" applyFill="1" applyBorder="1" applyAlignment="1">
      <alignment vertical="center"/>
    </xf>
    <xf numFmtId="0" fontId="29" fillId="35" borderId="0" xfId="6" applyFont="1" applyFill="1" applyBorder="1" applyAlignment="1">
      <alignment vertical="center"/>
    </xf>
    <xf numFmtId="0" fontId="42" fillId="34" borderId="41" xfId="6" applyFont="1" applyFill="1" applyBorder="1" applyAlignment="1">
      <alignment vertical="center"/>
    </xf>
    <xf numFmtId="9" fontId="0" fillId="0" borderId="46" xfId="1" applyFont="1" applyBorder="1"/>
    <xf numFmtId="2" fontId="0" fillId="0" borderId="46" xfId="0" applyNumberFormat="1" applyBorder="1"/>
    <xf numFmtId="0" fontId="29" fillId="34" borderId="51" xfId="6" applyFont="1" applyFill="1" applyBorder="1" applyAlignment="1">
      <alignment vertical="center"/>
    </xf>
    <xf numFmtId="0" fontId="29" fillId="34" borderId="59" xfId="6" applyFont="1" applyFill="1" applyBorder="1" applyAlignment="1">
      <alignment vertical="center"/>
    </xf>
    <xf numFmtId="0" fontId="29" fillId="34" borderId="43" xfId="6" applyFont="1" applyFill="1" applyBorder="1" applyAlignment="1">
      <alignment vertical="center"/>
    </xf>
    <xf numFmtId="0" fontId="24" fillId="34" borderId="0" xfId="6" applyFont="1" applyFill="1" applyBorder="1" applyAlignment="1">
      <alignment vertical="center"/>
    </xf>
    <xf numFmtId="0" fontId="42" fillId="34" borderId="50" xfId="6" applyFont="1" applyFill="1" applyBorder="1" applyAlignment="1">
      <alignment vertical="center"/>
    </xf>
    <xf numFmtId="0" fontId="42" fillId="34" borderId="45" xfId="6" applyFont="1" applyFill="1" applyBorder="1" applyAlignment="1">
      <alignment vertical="center"/>
    </xf>
    <xf numFmtId="0" fontId="29" fillId="34" borderId="60" xfId="6" applyFont="1" applyFill="1" applyBorder="1" applyAlignment="1">
      <alignment vertical="center"/>
    </xf>
    <xf numFmtId="0" fontId="42" fillId="34" borderId="61" xfId="6" applyFont="1" applyFill="1" applyBorder="1" applyAlignment="1">
      <alignment horizontal="right" vertical="center"/>
    </xf>
    <xf numFmtId="0" fontId="19" fillId="34" borderId="0" xfId="0" applyFont="1" applyFill="1" applyAlignment="1">
      <alignment horizontal="left"/>
    </xf>
    <xf numFmtId="0" fontId="65" fillId="34" borderId="42" xfId="3" applyFont="1" applyFill="1" applyBorder="1" applyAlignment="1">
      <alignment horizontal="left" vertical="center"/>
    </xf>
    <xf numFmtId="0" fontId="67" fillId="34" borderId="0" xfId="0" applyFont="1" applyFill="1" applyAlignment="1">
      <alignment horizontal="right" vertical="center"/>
    </xf>
    <xf numFmtId="0" fontId="67" fillId="34" borderId="0" xfId="0" applyFont="1" applyFill="1" applyAlignment="1">
      <alignment horizontal="left" vertical="center"/>
    </xf>
    <xf numFmtId="0" fontId="29" fillId="35" borderId="51" xfId="6" applyFont="1" applyFill="1" applyBorder="1" applyAlignment="1">
      <alignment vertical="center"/>
    </xf>
    <xf numFmtId="2" fontId="0" fillId="0" borderId="0" xfId="0" applyNumberFormat="1" applyAlignment="1">
      <alignment horizontal="left" vertical="center"/>
    </xf>
    <xf numFmtId="0" fontId="22" fillId="0" borderId="0" xfId="0" applyFont="1" applyAlignment="1">
      <alignment horizontal="right" vertical="center"/>
    </xf>
    <xf numFmtId="0" fontId="68" fillId="34" borderId="14" xfId="0" applyFont="1" applyFill="1" applyBorder="1"/>
    <xf numFmtId="0" fontId="52" fillId="35" borderId="0" xfId="0" applyFont="1" applyFill="1" applyAlignment="1">
      <alignment horizontal="left" vertical="top"/>
    </xf>
    <xf numFmtId="165" fontId="52" fillId="35" borderId="0" xfId="0" applyNumberFormat="1" applyFont="1" applyFill="1" applyAlignment="1">
      <alignment horizontal="left" vertical="center"/>
    </xf>
    <xf numFmtId="1" fontId="16" fillId="33" borderId="10" xfId="1" applyNumberFormat="1" applyFont="1" applyFill="1" applyBorder="1" applyAlignment="1" applyProtection="1">
      <alignment horizontal="center" vertical="center"/>
      <protection locked="0"/>
    </xf>
    <xf numFmtId="0" fontId="0" fillId="34" borderId="42" xfId="0" applyFill="1" applyBorder="1"/>
    <xf numFmtId="0" fontId="16" fillId="34" borderId="0" xfId="0" applyFont="1" applyFill="1" applyAlignment="1">
      <alignment horizontal="right" vertical="top"/>
    </xf>
    <xf numFmtId="0" fontId="69" fillId="34" borderId="0" xfId="0" applyFont="1" applyFill="1" applyAlignment="1">
      <alignment vertical="top"/>
    </xf>
    <xf numFmtId="0" fontId="28" fillId="35" borderId="0" xfId="6" applyFont="1" applyFill="1" applyAlignment="1">
      <alignment horizontal="center" vertical="center"/>
    </xf>
    <xf numFmtId="0" fontId="47" fillId="34" borderId="0" xfId="0" applyFont="1" applyFill="1" applyAlignment="1">
      <alignment horizontal="left" vertical="center"/>
    </xf>
    <xf numFmtId="169" fontId="0" fillId="34" borderId="0" xfId="0" applyNumberFormat="1" applyFill="1" applyAlignment="1">
      <alignment horizontal="center" vertical="center"/>
    </xf>
    <xf numFmtId="0" fontId="16" fillId="35" borderId="0" xfId="0" applyFont="1" applyFill="1"/>
    <xf numFmtId="0" fontId="16" fillId="0" borderId="64" xfId="0" applyFont="1" applyBorder="1"/>
    <xf numFmtId="0" fontId="0" fillId="0" borderId="64" xfId="0" applyBorder="1"/>
    <xf numFmtId="9" fontId="0" fillId="0" borderId="64" xfId="0" applyNumberFormat="1" applyBorder="1" applyAlignment="1">
      <alignment horizontal="left" vertical="center"/>
    </xf>
    <xf numFmtId="0" fontId="0" fillId="0" borderId="64" xfId="0" applyBorder="1" applyAlignment="1">
      <alignment horizontal="left" vertical="center"/>
    </xf>
    <xf numFmtId="2" fontId="0" fillId="0" borderId="64" xfId="0" applyNumberFormat="1" applyBorder="1" applyAlignment="1">
      <alignment horizontal="left" vertical="center"/>
    </xf>
    <xf numFmtId="9" fontId="0" fillId="0" borderId="64" xfId="0" applyNumberFormat="1" applyBorder="1"/>
    <xf numFmtId="0" fontId="0" fillId="0" borderId="64" xfId="0" applyBorder="1" applyAlignment="1">
      <alignment horizontal="right"/>
    </xf>
    <xf numFmtId="165" fontId="0" fillId="0" borderId="0" xfId="0" applyNumberFormat="1" applyAlignment="1">
      <alignment horizontal="right"/>
    </xf>
    <xf numFmtId="0" fontId="0" fillId="0" borderId="66" xfId="0" applyBorder="1"/>
    <xf numFmtId="0" fontId="0" fillId="0" borderId="68" xfId="0" applyBorder="1"/>
    <xf numFmtId="0" fontId="0" fillId="0" borderId="38" xfId="0" applyBorder="1" applyAlignment="1">
      <alignment horizontal="center"/>
    </xf>
    <xf numFmtId="0" fontId="0" fillId="0" borderId="0" xfId="0" applyAlignment="1">
      <alignment wrapText="1"/>
    </xf>
    <xf numFmtId="0" fontId="0" fillId="37" borderId="0" xfId="0" applyFill="1"/>
    <xf numFmtId="0" fontId="0" fillId="0" borderId="0" xfId="0" applyAlignment="1">
      <alignment horizontal="left"/>
    </xf>
    <xf numFmtId="0" fontId="62" fillId="34" borderId="73" xfId="0" applyFont="1" applyFill="1" applyBorder="1"/>
    <xf numFmtId="0" fontId="0" fillId="34" borderId="74" xfId="0" applyFill="1" applyBorder="1"/>
    <xf numFmtId="0" fontId="0" fillId="34" borderId="75" xfId="0" applyFill="1" applyBorder="1"/>
    <xf numFmtId="0" fontId="0" fillId="34" borderId="78" xfId="0" applyFill="1" applyBorder="1"/>
    <xf numFmtId="0" fontId="0" fillId="34" borderId="79" xfId="0" applyFill="1" applyBorder="1"/>
    <xf numFmtId="0" fontId="0" fillId="34" borderId="80" xfId="0" applyFill="1" applyBorder="1"/>
    <xf numFmtId="0" fontId="0" fillId="34" borderId="76" xfId="0" applyFill="1" applyBorder="1" applyAlignment="1">
      <alignment vertical="center"/>
    </xf>
    <xf numFmtId="0" fontId="0" fillId="33" borderId="64" xfId="0" applyFill="1" applyBorder="1" applyAlignment="1">
      <alignment horizontal="right" vertical="center"/>
    </xf>
    <xf numFmtId="0" fontId="0" fillId="34" borderId="80" xfId="0" applyFill="1" applyBorder="1" applyAlignment="1">
      <alignment horizontal="left" vertical="center"/>
    </xf>
    <xf numFmtId="0" fontId="0" fillId="34" borderId="78" xfId="0" applyFill="1" applyBorder="1" applyAlignment="1">
      <alignment vertical="center"/>
    </xf>
    <xf numFmtId="0" fontId="0" fillId="34" borderId="79" xfId="0" applyFill="1" applyBorder="1" applyAlignment="1">
      <alignment vertical="center"/>
    </xf>
    <xf numFmtId="0" fontId="0" fillId="34" borderId="80" xfId="0" applyFill="1" applyBorder="1" applyAlignment="1">
      <alignment vertical="center"/>
    </xf>
    <xf numFmtId="0" fontId="0" fillId="33" borderId="77" xfId="0" applyFill="1" applyBorder="1" applyAlignment="1">
      <alignment vertical="center"/>
    </xf>
    <xf numFmtId="0" fontId="0" fillId="34" borderId="86" xfId="0" applyFill="1" applyBorder="1" applyAlignment="1">
      <alignment vertical="center"/>
    </xf>
    <xf numFmtId="0" fontId="31" fillId="34" borderId="78" xfId="0" applyFont="1" applyFill="1" applyBorder="1" applyAlignment="1">
      <alignment horizontal="right" vertical="center"/>
    </xf>
    <xf numFmtId="0" fontId="18" fillId="34" borderId="81" xfId="0" applyFont="1" applyFill="1" applyBorder="1" applyAlignment="1">
      <alignment vertical="center"/>
    </xf>
    <xf numFmtId="0" fontId="0" fillId="33" borderId="83" xfId="0" applyFill="1" applyBorder="1" applyAlignment="1">
      <alignment vertical="center"/>
    </xf>
    <xf numFmtId="0" fontId="0" fillId="34" borderId="87" xfId="0" applyFill="1" applyBorder="1" applyAlignment="1">
      <alignment vertical="center"/>
    </xf>
    <xf numFmtId="0" fontId="0" fillId="0" borderId="0" xfId="0" applyAlignment="1">
      <alignment vertical="center"/>
    </xf>
    <xf numFmtId="0" fontId="62" fillId="34" borderId="73" xfId="0" applyFont="1" applyFill="1" applyBorder="1" applyAlignment="1">
      <alignment vertical="center"/>
    </xf>
    <xf numFmtId="0" fontId="0" fillId="34" borderId="74" xfId="0" applyFill="1" applyBorder="1" applyAlignment="1">
      <alignment vertical="center"/>
    </xf>
    <xf numFmtId="0" fontId="0" fillId="34" borderId="75" xfId="0" applyFill="1" applyBorder="1" applyAlignment="1">
      <alignment vertical="center"/>
    </xf>
    <xf numFmtId="0" fontId="0" fillId="34" borderId="46" xfId="0" applyFill="1" applyBorder="1" applyAlignment="1">
      <alignment vertical="center"/>
    </xf>
    <xf numFmtId="0" fontId="0" fillId="34" borderId="88" xfId="0" applyFill="1" applyBorder="1" applyAlignment="1">
      <alignment vertical="center"/>
    </xf>
    <xf numFmtId="0" fontId="0" fillId="33" borderId="64" xfId="0" applyFill="1" applyBorder="1" applyAlignment="1">
      <alignment vertical="center"/>
    </xf>
    <xf numFmtId="0" fontId="0" fillId="34" borderId="86" xfId="0" applyFill="1" applyBorder="1" applyAlignment="1">
      <alignment horizontal="left" vertical="center"/>
    </xf>
    <xf numFmtId="0" fontId="0" fillId="33" borderId="82" xfId="0" applyFill="1" applyBorder="1" applyAlignment="1">
      <alignment vertical="center"/>
    </xf>
    <xf numFmtId="0" fontId="0" fillId="34" borderId="65" xfId="0" applyFill="1" applyBorder="1"/>
    <xf numFmtId="0" fontId="0" fillId="34" borderId="72" xfId="0" applyFill="1" applyBorder="1"/>
    <xf numFmtId="0" fontId="0" fillId="34" borderId="69" xfId="0" applyFill="1" applyBorder="1"/>
    <xf numFmtId="0" fontId="0" fillId="34" borderId="64" xfId="0" applyFill="1" applyBorder="1"/>
    <xf numFmtId="9" fontId="0" fillId="34" borderId="64" xfId="0" applyNumberFormat="1" applyFill="1" applyBorder="1" applyAlignment="1">
      <alignment horizontal="center"/>
    </xf>
    <xf numFmtId="9" fontId="0" fillId="34" borderId="86" xfId="0" applyNumberFormat="1" applyFill="1" applyBorder="1" applyAlignment="1">
      <alignment horizontal="center"/>
    </xf>
    <xf numFmtId="0" fontId="16" fillId="34" borderId="84" xfId="0" applyFont="1" applyFill="1" applyBorder="1" applyAlignment="1">
      <alignment horizontal="center" vertical="center"/>
    </xf>
    <xf numFmtId="0" fontId="16" fillId="34" borderId="90" xfId="0" applyFont="1" applyFill="1" applyBorder="1" applyAlignment="1">
      <alignment horizontal="center" vertical="center"/>
    </xf>
    <xf numFmtId="168" fontId="0" fillId="34" borderId="64" xfId="0" applyNumberFormat="1" applyFill="1" applyBorder="1" applyAlignment="1">
      <alignment horizontal="center"/>
    </xf>
    <xf numFmtId="168" fontId="0" fillId="34" borderId="86" xfId="0" applyNumberFormat="1" applyFill="1" applyBorder="1" applyAlignment="1">
      <alignment horizontal="center"/>
    </xf>
    <xf numFmtId="0" fontId="16" fillId="34" borderId="76" xfId="0" applyFont="1" applyFill="1" applyBorder="1" applyAlignment="1">
      <alignment horizontal="center" vertical="center"/>
    </xf>
    <xf numFmtId="0" fontId="16" fillId="34" borderId="86" xfId="0" applyFont="1" applyFill="1" applyBorder="1" applyAlignment="1">
      <alignment horizontal="center" vertical="center"/>
    </xf>
    <xf numFmtId="9" fontId="0" fillId="34" borderId="76" xfId="0" applyNumberFormat="1" applyFill="1" applyBorder="1" applyAlignment="1">
      <alignment horizontal="center" vertical="center"/>
    </xf>
    <xf numFmtId="0" fontId="0" fillId="33" borderId="86" xfId="0" applyFill="1" applyBorder="1" applyAlignment="1">
      <alignment horizontal="center" vertical="center"/>
    </xf>
    <xf numFmtId="0" fontId="0" fillId="34" borderId="76" xfId="0" applyFill="1" applyBorder="1" applyAlignment="1">
      <alignment horizontal="center" vertical="center"/>
    </xf>
    <xf numFmtId="9" fontId="73" fillId="34" borderId="76" xfId="1" applyFont="1" applyFill="1" applyBorder="1" applyAlignment="1">
      <alignment horizontal="center" vertical="center"/>
    </xf>
    <xf numFmtId="0" fontId="73" fillId="33" borderId="86" xfId="0" applyFont="1" applyFill="1" applyBorder="1" applyAlignment="1">
      <alignment horizontal="center" vertical="center"/>
    </xf>
    <xf numFmtId="0" fontId="16" fillId="34" borderId="64" xfId="0" applyFont="1" applyFill="1" applyBorder="1"/>
    <xf numFmtId="168" fontId="16" fillId="34" borderId="64" xfId="0" applyNumberFormat="1" applyFont="1" applyFill="1" applyBorder="1" applyAlignment="1">
      <alignment horizontal="center"/>
    </xf>
    <xf numFmtId="168" fontId="16" fillId="34" borderId="86" xfId="0" applyNumberFormat="1" applyFont="1" applyFill="1" applyBorder="1" applyAlignment="1">
      <alignment horizontal="center"/>
    </xf>
    <xf numFmtId="0" fontId="0" fillId="34" borderId="76" xfId="0" applyFill="1" applyBorder="1"/>
    <xf numFmtId="0" fontId="0" fillId="33" borderId="86" xfId="0" applyFill="1" applyBorder="1" applyAlignment="1">
      <alignment horizontal="center"/>
    </xf>
    <xf numFmtId="0" fontId="16" fillId="34" borderId="81" xfId="0" applyFont="1" applyFill="1" applyBorder="1" applyAlignment="1">
      <alignment horizontal="center"/>
    </xf>
    <xf numFmtId="0" fontId="16" fillId="34" borderId="87" xfId="0" applyFont="1" applyFill="1" applyBorder="1"/>
    <xf numFmtId="0" fontId="16" fillId="34" borderId="81" xfId="0" applyFont="1" applyFill="1" applyBorder="1"/>
    <xf numFmtId="0" fontId="16" fillId="34" borderId="87" xfId="0" applyFont="1" applyFill="1" applyBorder="1" applyAlignment="1">
      <alignment horizontal="center"/>
    </xf>
    <xf numFmtId="0" fontId="75" fillId="0" borderId="0" xfId="0" applyFont="1"/>
    <xf numFmtId="0" fontId="75" fillId="0" borderId="0" xfId="0" applyFont="1" applyAlignment="1">
      <alignment horizontal="center"/>
    </xf>
    <xf numFmtId="0" fontId="0" fillId="34" borderId="70" xfId="0" applyFill="1" applyBorder="1"/>
    <xf numFmtId="0" fontId="76" fillId="34" borderId="76" xfId="0" applyFont="1" applyFill="1" applyBorder="1"/>
    <xf numFmtId="9" fontId="16" fillId="34" borderId="64" xfId="0" applyNumberFormat="1" applyFont="1" applyFill="1" applyBorder="1" applyAlignment="1">
      <alignment horizontal="center"/>
    </xf>
    <xf numFmtId="9" fontId="16" fillId="34" borderId="86" xfId="0" applyNumberFormat="1" applyFont="1" applyFill="1" applyBorder="1" applyAlignment="1">
      <alignment horizontal="center"/>
    </xf>
    <xf numFmtId="0" fontId="29" fillId="34" borderId="76" xfId="0" applyFont="1" applyFill="1" applyBorder="1"/>
    <xf numFmtId="0" fontId="0" fillId="34" borderId="64" xfId="0" applyFill="1" applyBorder="1" applyAlignment="1">
      <alignment horizontal="center"/>
    </xf>
    <xf numFmtId="165" fontId="0" fillId="34" borderId="64" xfId="0" applyNumberFormat="1" applyFill="1" applyBorder="1" applyAlignment="1">
      <alignment horizontal="center"/>
    </xf>
    <xf numFmtId="165" fontId="0" fillId="34" borderId="86" xfId="0" applyNumberFormat="1" applyFill="1" applyBorder="1" applyAlignment="1">
      <alignment horizontal="center"/>
    </xf>
    <xf numFmtId="0" fontId="28" fillId="34" borderId="76" xfId="0" applyFont="1" applyFill="1" applyBorder="1"/>
    <xf numFmtId="0" fontId="21" fillId="34" borderId="64" xfId="0" applyFont="1" applyFill="1" applyBorder="1" applyAlignment="1">
      <alignment horizontal="center"/>
    </xf>
    <xf numFmtId="2" fontId="21" fillId="34" borderId="64" xfId="0" applyNumberFormat="1" applyFont="1" applyFill="1" applyBorder="1" applyAlignment="1">
      <alignment horizontal="center"/>
    </xf>
    <xf numFmtId="2" fontId="21" fillId="34" borderId="86" xfId="0" applyNumberFormat="1" applyFont="1" applyFill="1" applyBorder="1" applyAlignment="1">
      <alignment horizontal="center"/>
    </xf>
    <xf numFmtId="0" fontId="28" fillId="34" borderId="81" xfId="0" applyFont="1" applyFill="1" applyBorder="1"/>
    <xf numFmtId="0" fontId="21" fillId="34" borderId="82" xfId="0" applyFont="1" applyFill="1" applyBorder="1"/>
    <xf numFmtId="2" fontId="21" fillId="34" borderId="82" xfId="0" applyNumberFormat="1" applyFont="1" applyFill="1" applyBorder="1" applyAlignment="1">
      <alignment horizontal="center"/>
    </xf>
    <xf numFmtId="2" fontId="21" fillId="34" borderId="87" xfId="0" applyNumberFormat="1" applyFont="1" applyFill="1" applyBorder="1" applyAlignment="1">
      <alignment horizontal="center"/>
    </xf>
    <xf numFmtId="0" fontId="0" fillId="0" borderId="39" xfId="0" applyBorder="1"/>
    <xf numFmtId="0" fontId="21" fillId="0" borderId="47" xfId="0" applyFont="1" applyBorder="1"/>
    <xf numFmtId="0" fontId="0" fillId="39" borderId="64" xfId="0" applyFill="1" applyBorder="1"/>
    <xf numFmtId="168" fontId="0" fillId="39" borderId="64" xfId="0" applyNumberFormat="1" applyFill="1" applyBorder="1" applyAlignment="1">
      <alignment horizontal="center"/>
    </xf>
    <xf numFmtId="168" fontId="0" fillId="39" borderId="86" xfId="0" applyNumberFormat="1" applyFill="1" applyBorder="1" applyAlignment="1">
      <alignment horizontal="center"/>
    </xf>
    <xf numFmtId="0" fontId="72" fillId="34" borderId="76" xfId="0" applyFont="1" applyFill="1" applyBorder="1"/>
    <xf numFmtId="0" fontId="73" fillId="34" borderId="64" xfId="0" applyFont="1" applyFill="1" applyBorder="1" applyAlignment="1">
      <alignment horizontal="center"/>
    </xf>
    <xf numFmtId="165" fontId="73" fillId="34" borderId="64" xfId="0" applyNumberFormat="1" applyFont="1" applyFill="1" applyBorder="1" applyAlignment="1">
      <alignment horizontal="center"/>
    </xf>
    <xf numFmtId="165" fontId="73" fillId="34" borderId="86" xfId="0" applyNumberFormat="1" applyFont="1" applyFill="1" applyBorder="1" applyAlignment="1">
      <alignment horizontal="center"/>
    </xf>
    <xf numFmtId="168" fontId="73" fillId="34" borderId="64" xfId="0" applyNumberFormat="1" applyFont="1" applyFill="1" applyBorder="1" applyAlignment="1">
      <alignment horizontal="center"/>
    </xf>
    <xf numFmtId="168" fontId="73" fillId="40" borderId="64" xfId="0" applyNumberFormat="1" applyFont="1" applyFill="1" applyBorder="1" applyAlignment="1">
      <alignment horizontal="center"/>
    </xf>
    <xf numFmtId="0" fontId="16" fillId="34" borderId="64" xfId="0" quotePrefix="1" applyFont="1" applyFill="1" applyBorder="1"/>
    <xf numFmtId="0" fontId="42" fillId="35" borderId="0" xfId="6" applyFont="1" applyFill="1" applyBorder="1" applyAlignment="1">
      <alignment horizontal="left" vertical="center"/>
    </xf>
    <xf numFmtId="0" fontId="31" fillId="35" borderId="0" xfId="6" applyFont="1" applyFill="1" applyBorder="1" applyAlignment="1">
      <alignment vertical="center"/>
    </xf>
    <xf numFmtId="0" fontId="13" fillId="38" borderId="0" xfId="0" applyFont="1" applyFill="1"/>
    <xf numFmtId="0" fontId="0" fillId="38" borderId="0" xfId="0" applyFill="1"/>
    <xf numFmtId="0" fontId="39" fillId="36" borderId="12" xfId="43" applyFont="1" applyFill="1" applyBorder="1" applyAlignment="1">
      <alignment horizontal="center" vertical="center"/>
    </xf>
    <xf numFmtId="0" fontId="27" fillId="34" borderId="0" xfId="3" applyFont="1" applyFill="1" applyBorder="1" applyAlignment="1">
      <alignment horizontal="left"/>
    </xf>
    <xf numFmtId="0" fontId="0" fillId="0" borderId="63" xfId="0" applyBorder="1"/>
    <xf numFmtId="0" fontId="0" fillId="0" borderId="63" xfId="0" applyBorder="1" applyAlignment="1">
      <alignment horizontal="center" vertical="center"/>
    </xf>
    <xf numFmtId="166" fontId="0" fillId="0" borderId="0" xfId="1" applyNumberFormat="1" applyFont="1"/>
    <xf numFmtId="165" fontId="0" fillId="0" borderId="0" xfId="0" applyNumberFormat="1" applyAlignment="1">
      <alignment horizontal="left" vertical="center"/>
    </xf>
    <xf numFmtId="9" fontId="0" fillId="0" borderId="0" xfId="0" applyNumberFormat="1" applyAlignment="1">
      <alignment horizontal="left" vertical="center"/>
    </xf>
    <xf numFmtId="10" fontId="0" fillId="0" borderId="0" xfId="0" applyNumberFormat="1" applyAlignment="1">
      <alignment horizontal="left" vertical="center"/>
    </xf>
    <xf numFmtId="9" fontId="0" fillId="0" borderId="0" xfId="1" applyFont="1" applyAlignment="1">
      <alignment horizontal="left"/>
    </xf>
    <xf numFmtId="165" fontId="0" fillId="0" borderId="0" xfId="0" applyNumberFormat="1" applyAlignment="1">
      <alignment horizontal="left"/>
    </xf>
    <xf numFmtId="164" fontId="0" fillId="0" borderId="0" xfId="0" applyNumberFormat="1" applyAlignment="1">
      <alignment horizontal="left" vertical="center"/>
    </xf>
    <xf numFmtId="10" fontId="0" fillId="0" borderId="0" xfId="1" applyNumberFormat="1" applyFont="1" applyAlignment="1">
      <alignment horizontal="left" vertical="center"/>
    </xf>
    <xf numFmtId="2" fontId="0" fillId="0" borderId="0" xfId="1" applyNumberFormat="1" applyFont="1" applyAlignment="1">
      <alignment horizontal="left" vertical="center"/>
    </xf>
    <xf numFmtId="166" fontId="0" fillId="0" borderId="0" xfId="0" applyNumberFormat="1" applyAlignment="1">
      <alignment horizontal="center"/>
    </xf>
    <xf numFmtId="0" fontId="17" fillId="41" borderId="0" xfId="0" applyFont="1" applyFill="1"/>
    <xf numFmtId="0" fontId="13" fillId="41" borderId="0" xfId="0" applyFont="1" applyFill="1"/>
    <xf numFmtId="0" fontId="13" fillId="41" borderId="47" xfId="0" applyFont="1" applyFill="1" applyBorder="1"/>
    <xf numFmtId="1" fontId="29" fillId="33" borderId="24" xfId="6" applyNumberFormat="1" applyFont="1" applyFill="1" applyBorder="1" applyAlignment="1">
      <alignment horizontal="center" vertical="center"/>
    </xf>
    <xf numFmtId="1" fontId="24" fillId="33" borderId="24" xfId="6" applyNumberFormat="1" applyFont="1" applyFill="1" applyBorder="1" applyAlignment="1">
      <alignment horizontal="center" vertical="center"/>
    </xf>
    <xf numFmtId="165" fontId="29" fillId="34" borderId="0" xfId="6" applyNumberFormat="1" applyFont="1" applyFill="1" applyBorder="1" applyAlignment="1">
      <alignment horizontal="center" vertical="center"/>
    </xf>
    <xf numFmtId="166" fontId="29" fillId="34" borderId="0" xfId="6" applyNumberFormat="1" applyFont="1" applyFill="1" applyBorder="1" applyAlignment="1">
      <alignment horizontal="center" vertical="center"/>
    </xf>
    <xf numFmtId="0" fontId="60" fillId="34" borderId="0" xfId="6" applyFont="1" applyFill="1" applyBorder="1" applyAlignment="1">
      <alignment horizontal="center" vertical="center"/>
    </xf>
    <xf numFmtId="170" fontId="0" fillId="0" borderId="0" xfId="0" applyNumberFormat="1"/>
    <xf numFmtId="9" fontId="0" fillId="0" borderId="0" xfId="1" applyFont="1" applyBorder="1" applyAlignment="1">
      <alignment horizontal="left"/>
    </xf>
    <xf numFmtId="165" fontId="0" fillId="0" borderId="0" xfId="0" applyNumberFormat="1" applyAlignment="1">
      <alignment horizontal="center" vertical="center"/>
    </xf>
    <xf numFmtId="2" fontId="0" fillId="0" borderId="0" xfId="0" applyNumberFormat="1" applyAlignment="1">
      <alignment horizontal="center" vertical="center"/>
    </xf>
    <xf numFmtId="164" fontId="0" fillId="0" borderId="0" xfId="0" applyNumberFormat="1" applyAlignment="1">
      <alignment horizontal="center" vertical="center"/>
    </xf>
    <xf numFmtId="10" fontId="0" fillId="0" borderId="0" xfId="0" applyNumberFormat="1" applyAlignment="1">
      <alignment horizontal="center" vertical="center"/>
    </xf>
    <xf numFmtId="0" fontId="16" fillId="34" borderId="0" xfId="0" applyFont="1" applyFill="1" applyAlignment="1">
      <alignment horizontal="center" vertical="center"/>
    </xf>
    <xf numFmtId="0" fontId="16" fillId="34" borderId="0" xfId="0" applyFont="1" applyFill="1" applyAlignment="1">
      <alignment vertical="center"/>
    </xf>
    <xf numFmtId="0" fontId="42" fillId="34" borderId="0" xfId="0" applyFont="1" applyFill="1" applyAlignment="1">
      <alignment horizontal="center" wrapText="1"/>
    </xf>
    <xf numFmtId="0" fontId="42" fillId="34" borderId="0" xfId="0" applyFont="1" applyFill="1" applyAlignment="1">
      <alignment horizontal="center"/>
    </xf>
    <xf numFmtId="0" fontId="0" fillId="34" borderId="0" xfId="0" applyFill="1" applyAlignment="1">
      <alignment horizontal="center" vertical="center"/>
    </xf>
    <xf numFmtId="0" fontId="0" fillId="34" borderId="0" xfId="0" applyFill="1" applyAlignment="1">
      <alignment horizontal="left" vertical="center" indent="3"/>
    </xf>
    <xf numFmtId="1" fontId="0" fillId="34" borderId="0" xfId="0" applyNumberFormat="1" applyFill="1" applyAlignment="1">
      <alignment horizontal="center" vertical="center"/>
    </xf>
    <xf numFmtId="0" fontId="62" fillId="34" borderId="0" xfId="0" applyFont="1" applyFill="1" applyAlignment="1">
      <alignment vertical="center" wrapText="1"/>
    </xf>
    <xf numFmtId="0" fontId="0" fillId="34" borderId="0" xfId="0" applyFill="1" applyAlignment="1">
      <alignment horizontal="right"/>
    </xf>
    <xf numFmtId="0" fontId="70" fillId="35" borderId="0" xfId="0" applyFont="1" applyFill="1" applyAlignment="1">
      <alignment horizontal="left" vertical="top"/>
    </xf>
    <xf numFmtId="0" fontId="28" fillId="35" borderId="0" xfId="0" applyFont="1" applyFill="1" applyAlignment="1">
      <alignment horizontal="center" vertical="center"/>
    </xf>
    <xf numFmtId="0" fontId="42" fillId="34" borderId="0" xfId="0" applyFont="1" applyFill="1" applyAlignment="1">
      <alignment horizontal="center" vertical="center" wrapText="1"/>
    </xf>
    <xf numFmtId="169" fontId="16" fillId="34" borderId="0" xfId="0" applyNumberFormat="1" applyFont="1" applyFill="1" applyAlignment="1">
      <alignment horizontal="center" vertical="center"/>
    </xf>
    <xf numFmtId="0" fontId="28" fillId="34" borderId="0" xfId="6" applyFont="1" applyFill="1" applyBorder="1" applyAlignment="1">
      <alignment horizontal="right"/>
    </xf>
    <xf numFmtId="0" fontId="44" fillId="34" borderId="0" xfId="0" applyFont="1" applyFill="1" applyAlignment="1">
      <alignment horizontal="center" vertical="center"/>
    </xf>
    <xf numFmtId="0" fontId="14" fillId="34" borderId="0" xfId="0" applyFont="1" applyFill="1" applyAlignment="1">
      <alignment horizontal="center" vertical="center"/>
    </xf>
    <xf numFmtId="0" fontId="14" fillId="34" borderId="0" xfId="0" applyFont="1" applyFill="1" applyAlignment="1">
      <alignment horizontal="center"/>
    </xf>
    <xf numFmtId="0" fontId="0" fillId="0" borderId="63" xfId="0" applyBorder="1" applyProtection="1">
      <protection locked="0"/>
    </xf>
    <xf numFmtId="0" fontId="42" fillId="35" borderId="0" xfId="6" applyFont="1" applyFill="1" applyBorder="1" applyAlignment="1">
      <alignment horizontal="center" vertical="center"/>
    </xf>
    <xf numFmtId="0" fontId="42" fillId="35" borderId="0" xfId="0" applyFont="1" applyFill="1" applyAlignment="1">
      <alignment horizontal="left" vertical="center"/>
    </xf>
    <xf numFmtId="0" fontId="29" fillId="35" borderId="58" xfId="6" applyFont="1" applyFill="1" applyBorder="1" applyAlignment="1">
      <alignment horizontal="center" vertical="center"/>
    </xf>
    <xf numFmtId="0" fontId="29" fillId="35" borderId="58" xfId="6" applyFont="1" applyFill="1" applyBorder="1" applyAlignment="1" applyProtection="1">
      <alignment horizontal="center" vertical="center"/>
      <protection locked="0"/>
    </xf>
    <xf numFmtId="0" fontId="31" fillId="35" borderId="58" xfId="0" applyFont="1" applyFill="1" applyBorder="1"/>
    <xf numFmtId="0" fontId="0" fillId="35" borderId="58" xfId="0" applyFill="1" applyBorder="1"/>
    <xf numFmtId="0" fontId="29" fillId="35" borderId="43" xfId="6" applyFont="1" applyFill="1" applyBorder="1" applyAlignment="1">
      <alignment horizontal="left" vertical="top" indent="2"/>
    </xf>
    <xf numFmtId="0" fontId="29" fillId="35" borderId="0" xfId="6" applyFont="1" applyFill="1" applyBorder="1" applyAlignment="1">
      <alignment horizontal="center" vertical="center"/>
    </xf>
    <xf numFmtId="0" fontId="0" fillId="0" borderId="0" xfId="0" applyAlignment="1">
      <alignment horizontal="left" vertical="top" wrapText="1"/>
    </xf>
    <xf numFmtId="0" fontId="80" fillId="0" borderId="0" xfId="0" applyFont="1"/>
    <xf numFmtId="0" fontId="0" fillId="34" borderId="91" xfId="0" applyFill="1" applyBorder="1" applyAlignment="1">
      <alignment horizontal="center" vertical="center"/>
    </xf>
    <xf numFmtId="0" fontId="42" fillId="34" borderId="91" xfId="0" applyFont="1" applyFill="1" applyBorder="1" applyAlignment="1">
      <alignment horizontal="center" wrapText="1"/>
    </xf>
    <xf numFmtId="0" fontId="0" fillId="34" borderId="92" xfId="0" applyFill="1" applyBorder="1" applyAlignment="1">
      <alignment horizontal="center" vertical="center"/>
    </xf>
    <xf numFmtId="0" fontId="42" fillId="34" borderId="92" xfId="0" applyFont="1" applyFill="1" applyBorder="1" applyAlignment="1">
      <alignment horizontal="center" wrapText="1"/>
    </xf>
    <xf numFmtId="0" fontId="42" fillId="34" borderId="93" xfId="0" applyFont="1" applyFill="1" applyBorder="1" applyAlignment="1">
      <alignment horizontal="center" wrapText="1"/>
    </xf>
    <xf numFmtId="0" fontId="0" fillId="34" borderId="93" xfId="0" applyFill="1" applyBorder="1" applyAlignment="1">
      <alignment horizontal="center" vertical="center"/>
    </xf>
    <xf numFmtId="0" fontId="14" fillId="34" borderId="91" xfId="0" applyFont="1" applyFill="1" applyBorder="1" applyAlignment="1">
      <alignment horizontal="center" vertical="center"/>
    </xf>
    <xf numFmtId="0" fontId="14" fillId="34" borderId="93" xfId="0" applyFont="1" applyFill="1" applyBorder="1" applyAlignment="1">
      <alignment horizontal="center" vertical="center"/>
    </xf>
    <xf numFmtId="1" fontId="0" fillId="34" borderId="93" xfId="0" applyNumberFormat="1" applyFill="1" applyBorder="1" applyAlignment="1">
      <alignment horizontal="center" vertical="center"/>
    </xf>
    <xf numFmtId="49" fontId="0" fillId="42" borderId="92" xfId="0" applyNumberFormat="1" applyFill="1" applyBorder="1" applyAlignment="1">
      <alignment horizontal="center" vertical="center"/>
    </xf>
    <xf numFmtId="0" fontId="0" fillId="42" borderId="92" xfId="0" applyFill="1" applyBorder="1" applyAlignment="1">
      <alignment horizontal="center" vertical="center"/>
    </xf>
    <xf numFmtId="0" fontId="0" fillId="42" borderId="91" xfId="0" applyFill="1" applyBorder="1" applyAlignment="1">
      <alignment horizontal="center" vertical="center"/>
    </xf>
    <xf numFmtId="0" fontId="0" fillId="42" borderId="0" xfId="0" applyFill="1" applyAlignment="1">
      <alignment horizontal="center" vertical="center"/>
    </xf>
    <xf numFmtId="0" fontId="0" fillId="42" borderId="93" xfId="0" applyFill="1" applyBorder="1" applyAlignment="1">
      <alignment horizontal="center" vertical="center"/>
    </xf>
    <xf numFmtId="0" fontId="29" fillId="34" borderId="94" xfId="0" applyFont="1" applyFill="1" applyBorder="1" applyAlignment="1">
      <alignment horizontal="center" vertical="center"/>
    </xf>
    <xf numFmtId="0" fontId="29" fillId="34" borderId="95" xfId="0" applyFont="1" applyFill="1" applyBorder="1" applyAlignment="1">
      <alignment horizontal="center" vertical="center"/>
    </xf>
    <xf numFmtId="0" fontId="29" fillId="34" borderId="96" xfId="0" applyFont="1" applyFill="1" applyBorder="1" applyAlignment="1">
      <alignment horizontal="center" vertical="center"/>
    </xf>
    <xf numFmtId="0" fontId="29" fillId="34" borderId="94" xfId="0" applyFont="1" applyFill="1" applyBorder="1" applyAlignment="1">
      <alignment horizontal="center" vertical="center" wrapText="1"/>
    </xf>
    <xf numFmtId="0" fontId="29" fillId="34" borderId="97" xfId="0" applyFont="1" applyFill="1" applyBorder="1" applyAlignment="1">
      <alignment horizontal="center" vertical="center"/>
    </xf>
    <xf numFmtId="169" fontId="29" fillId="34" borderId="94" xfId="0" applyNumberFormat="1" applyFont="1" applyFill="1" applyBorder="1" applyAlignment="1">
      <alignment horizontal="center" vertical="center"/>
    </xf>
    <xf numFmtId="0" fontId="14" fillId="42" borderId="92" xfId="0" applyFont="1" applyFill="1" applyBorder="1" applyAlignment="1">
      <alignment horizontal="center" vertical="center"/>
    </xf>
    <xf numFmtId="169" fontId="0" fillId="42" borderId="93" xfId="0" applyNumberFormat="1" applyFill="1" applyBorder="1" applyAlignment="1">
      <alignment horizontal="center" vertical="center"/>
    </xf>
    <xf numFmtId="0" fontId="29" fillId="34" borderId="0" xfId="0" applyFont="1" applyFill="1" applyAlignment="1">
      <alignment vertical="center"/>
    </xf>
    <xf numFmtId="0" fontId="0" fillId="0" borderId="98" xfId="0" applyBorder="1"/>
    <xf numFmtId="0" fontId="0" fillId="0" borderId="98" xfId="0" applyBorder="1" applyAlignment="1">
      <alignment horizontal="left" vertical="top"/>
    </xf>
    <xf numFmtId="0" fontId="38" fillId="36" borderId="12" xfId="0" applyFont="1" applyFill="1" applyBorder="1" applyAlignment="1">
      <alignment vertical="center"/>
    </xf>
    <xf numFmtId="0" fontId="38" fillId="36" borderId="29" xfId="0" applyFont="1" applyFill="1" applyBorder="1" applyAlignment="1">
      <alignment vertical="center"/>
    </xf>
    <xf numFmtId="1" fontId="0" fillId="0" borderId="0" xfId="0" applyNumberFormat="1" applyAlignment="1">
      <alignment horizontal="right"/>
    </xf>
    <xf numFmtId="168" fontId="0" fillId="0" borderId="0" xfId="0" applyNumberFormat="1" applyAlignment="1">
      <alignment horizontal="right"/>
    </xf>
    <xf numFmtId="165" fontId="81" fillId="0" borderId="0" xfId="0" applyNumberFormat="1" applyFont="1" applyAlignment="1">
      <alignment horizontal="right"/>
    </xf>
    <xf numFmtId="0" fontId="81" fillId="0" borderId="0" xfId="0" applyFont="1" applyAlignment="1">
      <alignment horizontal="right"/>
    </xf>
    <xf numFmtId="0" fontId="31" fillId="34" borderId="0" xfId="0" applyFont="1" applyFill="1" applyAlignment="1">
      <alignment horizontal="left" vertical="center" indent="1"/>
    </xf>
    <xf numFmtId="0" fontId="31" fillId="34" borderId="0" xfId="0" applyFont="1" applyFill="1" applyAlignment="1">
      <alignment horizontal="left" indent="1"/>
    </xf>
    <xf numFmtId="0" fontId="31" fillId="34" borderId="0" xfId="0" applyFont="1" applyFill="1" applyAlignment="1">
      <alignment horizontal="left" vertical="top" indent="1"/>
    </xf>
    <xf numFmtId="0" fontId="82" fillId="34" borderId="14" xfId="0" applyFont="1" applyFill="1" applyBorder="1"/>
    <xf numFmtId="0" fontId="33" fillId="34" borderId="0" xfId="3" applyFont="1" applyFill="1" applyBorder="1" applyAlignment="1">
      <alignment horizontal="left"/>
    </xf>
    <xf numFmtId="0" fontId="42" fillId="33" borderId="0" xfId="0" applyFont="1" applyFill="1"/>
    <xf numFmtId="0" fontId="53" fillId="33" borderId="0" xfId="6" applyFont="1" applyFill="1" applyAlignment="1">
      <alignment horizontal="left"/>
    </xf>
    <xf numFmtId="0" fontId="62" fillId="34" borderId="0" xfId="3" applyFont="1" applyFill="1" applyBorder="1" applyAlignment="1">
      <alignment horizontal="left"/>
    </xf>
    <xf numFmtId="0" fontId="0" fillId="0" borderId="99" xfId="0" applyBorder="1"/>
    <xf numFmtId="0" fontId="69" fillId="34" borderId="0" xfId="0" applyFont="1" applyFill="1" applyAlignment="1">
      <alignment horizontal="left"/>
    </xf>
    <xf numFmtId="0" fontId="0" fillId="33" borderId="98" xfId="0" applyFill="1" applyBorder="1"/>
    <xf numFmtId="0" fontId="0" fillId="33" borderId="98" xfId="0" applyFill="1" applyBorder="1" applyAlignment="1">
      <alignment horizontal="left" vertical="center"/>
    </xf>
    <xf numFmtId="0" fontId="61" fillId="33" borderId="98" xfId="0" applyFont="1" applyFill="1" applyBorder="1"/>
    <xf numFmtId="0" fontId="42" fillId="33" borderId="98" xfId="0" applyFont="1" applyFill="1" applyBorder="1" applyAlignment="1">
      <alignment horizontal="left" vertical="center"/>
    </xf>
    <xf numFmtId="0" fontId="62" fillId="33" borderId="98" xfId="0" applyFont="1" applyFill="1" applyBorder="1" applyAlignment="1">
      <alignment horizontal="left" vertical="center"/>
    </xf>
    <xf numFmtId="0" fontId="62" fillId="33" borderId="98" xfId="0" applyFont="1" applyFill="1" applyBorder="1"/>
    <xf numFmtId="0" fontId="42" fillId="33" borderId="98" xfId="0" applyFont="1" applyFill="1" applyBorder="1"/>
    <xf numFmtId="0" fontId="53" fillId="33" borderId="98" xfId="6" applyFont="1" applyFill="1" applyBorder="1" applyAlignment="1">
      <alignment horizontal="left"/>
    </xf>
    <xf numFmtId="0" fontId="62" fillId="33" borderId="0" xfId="3" applyFont="1" applyFill="1" applyBorder="1" applyAlignment="1">
      <alignment horizontal="left"/>
    </xf>
    <xf numFmtId="0" fontId="0" fillId="33" borderId="98" xfId="0" applyFill="1" applyBorder="1" applyAlignment="1">
      <alignment horizontal="right"/>
    </xf>
    <xf numFmtId="0" fontId="0" fillId="33" borderId="98" xfId="0" applyFill="1" applyBorder="1" applyAlignment="1">
      <alignment horizontal="left"/>
    </xf>
    <xf numFmtId="0" fontId="83" fillId="35" borderId="58" xfId="0" quotePrefix="1" applyFont="1" applyFill="1" applyBorder="1" applyAlignment="1">
      <alignment horizontal="left" vertical="center"/>
    </xf>
    <xf numFmtId="0" fontId="84" fillId="34" borderId="0" xfId="0" applyFont="1" applyFill="1"/>
    <xf numFmtId="0" fontId="85" fillId="33" borderId="98" xfId="0" applyFont="1" applyFill="1" applyBorder="1"/>
    <xf numFmtId="0" fontId="0" fillId="0" borderId="100" xfId="0" applyBorder="1"/>
    <xf numFmtId="0" fontId="16" fillId="34" borderId="0" xfId="0" applyFont="1" applyFill="1" applyAlignment="1">
      <alignment horizontal="left"/>
    </xf>
    <xf numFmtId="0" fontId="0" fillId="34" borderId="0" xfId="0" applyFill="1" applyAlignment="1">
      <alignment horizontal="left"/>
    </xf>
    <xf numFmtId="0" fontId="19" fillId="34" borderId="0" xfId="0" applyFont="1" applyFill="1" applyAlignment="1">
      <alignment horizontal="left" vertical="center"/>
    </xf>
    <xf numFmtId="0" fontId="22" fillId="34" borderId="0" xfId="0" applyFont="1" applyFill="1" applyAlignment="1">
      <alignment horizontal="left" vertical="center" indent="3"/>
    </xf>
    <xf numFmtId="0" fontId="85" fillId="33" borderId="98" xfId="0" applyFont="1" applyFill="1" applyBorder="1" applyAlignment="1">
      <alignment horizontal="center"/>
    </xf>
    <xf numFmtId="0" fontId="85" fillId="33" borderId="101" xfId="0" applyFont="1" applyFill="1" applyBorder="1" applyAlignment="1">
      <alignment horizontal="left" indent="1"/>
    </xf>
    <xf numFmtId="0" fontId="85" fillId="33" borderId="101" xfId="0" applyFont="1" applyFill="1" applyBorder="1"/>
    <xf numFmtId="0" fontId="85" fillId="33" borderId="103" xfId="0" applyFont="1" applyFill="1" applyBorder="1"/>
    <xf numFmtId="0" fontId="42" fillId="33" borderId="98" xfId="0" applyFont="1" applyFill="1" applyBorder="1" applyAlignment="1">
      <alignment horizontal="left"/>
    </xf>
    <xf numFmtId="0" fontId="18" fillId="33" borderId="98" xfId="0" applyFont="1" applyFill="1" applyBorder="1" applyAlignment="1">
      <alignment horizontal="right" vertical="center"/>
    </xf>
    <xf numFmtId="0" fontId="42" fillId="33" borderId="98" xfId="0" applyFont="1" applyFill="1" applyBorder="1" applyAlignment="1">
      <alignment vertical="center"/>
    </xf>
    <xf numFmtId="0" fontId="29" fillId="34" borderId="50" xfId="6" applyFont="1" applyFill="1" applyBorder="1" applyAlignment="1">
      <alignment vertical="center"/>
    </xf>
    <xf numFmtId="0" fontId="1" fillId="34" borderId="0" xfId="0" applyFont="1" applyFill="1"/>
    <xf numFmtId="0" fontId="0" fillId="0" borderId="40" xfId="0" applyBorder="1"/>
    <xf numFmtId="0" fontId="28" fillId="0" borderId="0" xfId="6" quotePrefix="1" applyFont="1" applyAlignment="1">
      <alignment horizontal="left"/>
    </xf>
    <xf numFmtId="0" fontId="28" fillId="0" borderId="0" xfId="6" applyFont="1" applyAlignment="1">
      <alignment horizontal="left"/>
    </xf>
    <xf numFmtId="9" fontId="16" fillId="0" borderId="64" xfId="1" applyFont="1" applyBorder="1"/>
    <xf numFmtId="0" fontId="0" fillId="34" borderId="0" xfId="0" applyFill="1" applyAlignment="1">
      <alignment horizontal="left" indent="1"/>
    </xf>
    <xf numFmtId="0" fontId="0" fillId="0" borderId="65" xfId="0" applyBorder="1"/>
    <xf numFmtId="0" fontId="0" fillId="0" borderId="66" xfId="0" applyBorder="1" applyAlignment="1">
      <alignment horizontal="left"/>
    </xf>
    <xf numFmtId="0" fontId="0" fillId="0" borderId="67" xfId="0" applyBorder="1"/>
    <xf numFmtId="0" fontId="0" fillId="0" borderId="69" xfId="0" applyBorder="1"/>
    <xf numFmtId="0" fontId="0" fillId="0" borderId="70" xfId="0" applyBorder="1"/>
    <xf numFmtId="0" fontId="0" fillId="0" borderId="38" xfId="0" applyBorder="1"/>
    <xf numFmtId="0" fontId="0" fillId="0" borderId="104" xfId="0" applyBorder="1"/>
    <xf numFmtId="0" fontId="0" fillId="0" borderId="69" xfId="0" applyBorder="1" applyAlignment="1">
      <alignment horizontal="right"/>
    </xf>
    <xf numFmtId="0" fontId="0" fillId="0" borderId="68" xfId="0" applyBorder="1" applyAlignment="1">
      <alignment horizontal="right"/>
    </xf>
    <xf numFmtId="0" fontId="0" fillId="0" borderId="38" xfId="0" applyBorder="1" applyAlignment="1">
      <alignment horizontal="right"/>
    </xf>
    <xf numFmtId="0" fontId="0" fillId="0" borderId="105" xfId="0" applyBorder="1"/>
    <xf numFmtId="0" fontId="0" fillId="0" borderId="106" xfId="0" applyBorder="1"/>
    <xf numFmtId="0" fontId="42" fillId="35" borderId="0" xfId="6" applyFont="1" applyFill="1" applyAlignment="1">
      <alignment horizontal="left" vertical="center" indent="1"/>
    </xf>
    <xf numFmtId="0" fontId="0" fillId="0" borderId="0" xfId="0" applyAlignment="1">
      <alignment vertical="top" wrapText="1"/>
    </xf>
    <xf numFmtId="165" fontId="29" fillId="33" borderId="107" xfId="6" applyNumberFormat="1" applyFont="1" applyFill="1" applyBorder="1" applyAlignment="1">
      <alignment horizontal="center" vertical="center"/>
    </xf>
    <xf numFmtId="166" fontId="24" fillId="33" borderId="24" xfId="6" applyNumberFormat="1" applyFont="1" applyFill="1" applyBorder="1" applyAlignment="1">
      <alignment horizontal="center" vertical="center"/>
    </xf>
    <xf numFmtId="9" fontId="16" fillId="33" borderId="10" xfId="1" applyFont="1" applyFill="1" applyBorder="1" applyAlignment="1" applyProtection="1">
      <alignment horizontal="center"/>
      <protection locked="0"/>
    </xf>
    <xf numFmtId="0" fontId="24" fillId="34" borderId="41" xfId="6" applyFont="1" applyFill="1" applyBorder="1" applyAlignment="1">
      <alignment vertical="center"/>
    </xf>
    <xf numFmtId="165" fontId="29" fillId="33" borderId="0" xfId="6" applyNumberFormat="1" applyFont="1" applyFill="1" applyBorder="1" applyAlignment="1">
      <alignment horizontal="center" vertical="center"/>
    </xf>
    <xf numFmtId="165" fontId="29" fillId="33" borderId="49" xfId="6" applyNumberFormat="1" applyFont="1" applyFill="1" applyBorder="1" applyAlignment="1">
      <alignment horizontal="center" vertical="center"/>
    </xf>
    <xf numFmtId="165" fontId="29" fillId="33" borderId="39" xfId="6" applyNumberFormat="1" applyFont="1" applyFill="1" applyBorder="1" applyAlignment="1">
      <alignment horizontal="center" vertical="center"/>
    </xf>
    <xf numFmtId="165" fontId="29" fillId="33" borderId="61" xfId="6" applyNumberFormat="1" applyFont="1" applyFill="1" applyBorder="1" applyAlignment="1">
      <alignment horizontal="center" vertical="center"/>
    </xf>
    <xf numFmtId="165" fontId="29" fillId="33" borderId="43" xfId="6" applyNumberFormat="1" applyFont="1" applyFill="1" applyBorder="1" applyAlignment="1">
      <alignment horizontal="center" vertical="center"/>
    </xf>
    <xf numFmtId="165" fontId="29" fillId="33" borderId="60" xfId="6" applyNumberFormat="1" applyFont="1" applyFill="1" applyBorder="1" applyAlignment="1">
      <alignment horizontal="center" vertical="center"/>
    </xf>
    <xf numFmtId="165" fontId="29" fillId="33" borderId="108" xfId="6" applyNumberFormat="1" applyFont="1" applyFill="1" applyBorder="1" applyAlignment="1">
      <alignment horizontal="center" vertical="center"/>
    </xf>
    <xf numFmtId="0" fontId="22" fillId="34" borderId="0" xfId="0" applyFont="1" applyFill="1" applyAlignment="1">
      <alignment horizontal="left"/>
    </xf>
    <xf numFmtId="0" fontId="28" fillId="34" borderId="0" xfId="6" applyFont="1" applyFill="1" applyAlignment="1">
      <alignment horizontal="right" indent="1"/>
    </xf>
    <xf numFmtId="0" fontId="21" fillId="34" borderId="0" xfId="0" applyFont="1" applyFill="1" applyAlignment="1">
      <alignment horizontal="right" indent="1"/>
    </xf>
    <xf numFmtId="0" fontId="28" fillId="34" borderId="0" xfId="0" applyFont="1" applyFill="1" applyAlignment="1">
      <alignment horizontal="right" indent="1"/>
    </xf>
    <xf numFmtId="0" fontId="66" fillId="0" borderId="46" xfId="0" applyFont="1" applyBorder="1"/>
    <xf numFmtId="165" fontId="29" fillId="33" borderId="109" xfId="6" applyNumberFormat="1" applyFont="1" applyFill="1" applyBorder="1" applyAlignment="1">
      <alignment horizontal="center" vertical="center"/>
    </xf>
    <xf numFmtId="165" fontId="29" fillId="33" borderId="110" xfId="6" applyNumberFormat="1" applyFont="1" applyFill="1" applyBorder="1" applyAlignment="1">
      <alignment horizontal="center" vertical="center"/>
    </xf>
    <xf numFmtId="165" fontId="29" fillId="33" borderId="111" xfId="6" applyNumberFormat="1" applyFont="1" applyFill="1" applyBorder="1" applyAlignment="1">
      <alignment horizontal="center" vertical="center"/>
    </xf>
    <xf numFmtId="165" fontId="29" fillId="33" borderId="112" xfId="6" applyNumberFormat="1" applyFont="1" applyFill="1" applyBorder="1" applyAlignment="1">
      <alignment horizontal="center" vertical="center"/>
    </xf>
    <xf numFmtId="165" fontId="29" fillId="33" borderId="113" xfId="6" applyNumberFormat="1" applyFont="1" applyFill="1" applyBorder="1" applyAlignment="1">
      <alignment horizontal="center" vertical="center"/>
    </xf>
    <xf numFmtId="165" fontId="29" fillId="33" borderId="114" xfId="6" applyNumberFormat="1" applyFont="1" applyFill="1" applyBorder="1" applyAlignment="1">
      <alignment horizontal="center" vertical="center"/>
    </xf>
    <xf numFmtId="165" fontId="29" fillId="33" borderId="115" xfId="6" applyNumberFormat="1" applyFont="1" applyFill="1" applyBorder="1" applyAlignment="1">
      <alignment horizontal="center" vertical="center"/>
    </xf>
    <xf numFmtId="165" fontId="29" fillId="33" borderId="116" xfId="6" applyNumberFormat="1" applyFont="1" applyFill="1" applyBorder="1" applyAlignment="1">
      <alignment horizontal="center" vertical="center"/>
    </xf>
    <xf numFmtId="165" fontId="29" fillId="33" borderId="117" xfId="6" applyNumberFormat="1" applyFont="1" applyFill="1" applyBorder="1" applyAlignment="1">
      <alignment horizontal="center" vertical="center"/>
    </xf>
    <xf numFmtId="165" fontId="29" fillId="33" borderId="118" xfId="6" applyNumberFormat="1" applyFont="1" applyFill="1" applyBorder="1" applyAlignment="1">
      <alignment horizontal="center" vertical="center"/>
    </xf>
    <xf numFmtId="165" fontId="29" fillId="33" borderId="119" xfId="6" applyNumberFormat="1" applyFont="1" applyFill="1" applyBorder="1" applyAlignment="1">
      <alignment horizontal="center" vertical="center"/>
    </xf>
    <xf numFmtId="165" fontId="29" fillId="33" borderId="120" xfId="6" applyNumberFormat="1" applyFont="1" applyFill="1" applyBorder="1" applyAlignment="1">
      <alignment horizontal="center" vertical="center"/>
    </xf>
    <xf numFmtId="165" fontId="29" fillId="33" borderId="121" xfId="6" applyNumberFormat="1" applyFont="1" applyFill="1" applyBorder="1" applyAlignment="1">
      <alignment horizontal="center" vertical="center"/>
    </xf>
    <xf numFmtId="165" fontId="29" fillId="33" borderId="122" xfId="6" applyNumberFormat="1" applyFont="1" applyFill="1" applyBorder="1" applyAlignment="1">
      <alignment horizontal="center" vertical="center"/>
    </xf>
    <xf numFmtId="165" fontId="29" fillId="33" borderId="51" xfId="6" applyNumberFormat="1" applyFont="1" applyFill="1" applyBorder="1" applyAlignment="1">
      <alignment horizontal="center" vertical="center"/>
    </xf>
    <xf numFmtId="165" fontId="29" fillId="33" borderId="123" xfId="6" applyNumberFormat="1" applyFont="1" applyFill="1" applyBorder="1" applyAlignment="1">
      <alignment horizontal="center" vertical="center"/>
    </xf>
    <xf numFmtId="165" fontId="29" fillId="33" borderId="124" xfId="6" applyNumberFormat="1" applyFont="1" applyFill="1" applyBorder="1" applyAlignment="1">
      <alignment horizontal="center" vertical="center"/>
    </xf>
    <xf numFmtId="0" fontId="42" fillId="34" borderId="0" xfId="6" applyFont="1" applyFill="1" applyBorder="1" applyAlignment="1">
      <alignment horizontal="left" vertical="center"/>
    </xf>
    <xf numFmtId="0" fontId="42" fillId="34" borderId="43" xfId="6" applyFont="1" applyFill="1" applyBorder="1" applyAlignment="1">
      <alignment horizontal="left" vertical="center"/>
    </xf>
    <xf numFmtId="165" fontId="29" fillId="33" borderId="125" xfId="6" applyNumberFormat="1" applyFont="1" applyFill="1" applyBorder="1" applyAlignment="1">
      <alignment horizontal="center" vertical="center"/>
    </xf>
    <xf numFmtId="165" fontId="29" fillId="33" borderId="126" xfId="6" applyNumberFormat="1" applyFont="1" applyFill="1" applyBorder="1" applyAlignment="1">
      <alignment horizontal="center" vertical="center"/>
    </xf>
    <xf numFmtId="165" fontId="29" fillId="33" borderId="127" xfId="6" applyNumberFormat="1" applyFont="1" applyFill="1" applyBorder="1" applyAlignment="1">
      <alignment horizontal="center" vertical="center"/>
    </xf>
    <xf numFmtId="165" fontId="29" fillId="33" borderId="128" xfId="6" applyNumberFormat="1" applyFont="1" applyFill="1" applyBorder="1" applyAlignment="1">
      <alignment horizontal="center" vertical="center"/>
    </xf>
    <xf numFmtId="165" fontId="29" fillId="33" borderId="129" xfId="6" applyNumberFormat="1" applyFont="1" applyFill="1" applyBorder="1" applyAlignment="1">
      <alignment horizontal="center" vertical="center"/>
    </xf>
    <xf numFmtId="165" fontId="29" fillId="34" borderId="0" xfId="6" applyNumberFormat="1" applyFont="1" applyFill="1" applyBorder="1" applyAlignment="1">
      <alignment horizontal="left" vertical="center"/>
    </xf>
    <xf numFmtId="0" fontId="87" fillId="0" borderId="0" xfId="0" applyFont="1"/>
    <xf numFmtId="0" fontId="87" fillId="0" borderId="0" xfId="0" applyFont="1" applyAlignment="1">
      <alignment horizontal="right"/>
    </xf>
    <xf numFmtId="165" fontId="87" fillId="0" borderId="0" xfId="0" applyNumberFormat="1" applyFont="1"/>
    <xf numFmtId="165" fontId="60" fillId="34" borderId="0" xfId="6" applyNumberFormat="1" applyFont="1" applyFill="1" applyBorder="1" applyAlignment="1">
      <alignment horizontal="center" vertical="center"/>
    </xf>
    <xf numFmtId="0" fontId="65" fillId="34" borderId="130" xfId="3" applyFont="1" applyFill="1" applyBorder="1" applyAlignment="1">
      <alignment horizontal="left" vertical="center"/>
    </xf>
    <xf numFmtId="0" fontId="24" fillId="34" borderId="58" xfId="6" applyFont="1" applyFill="1" applyBorder="1" applyAlignment="1">
      <alignment vertical="center"/>
    </xf>
    <xf numFmtId="0" fontId="86" fillId="34" borderId="52" xfId="6" applyFont="1" applyFill="1" applyBorder="1" applyAlignment="1">
      <alignment vertical="center"/>
    </xf>
    <xf numFmtId="0" fontId="62" fillId="35" borderId="58" xfId="6" applyFont="1" applyFill="1" applyBorder="1" applyAlignment="1">
      <alignment horizontal="left" vertical="center"/>
    </xf>
    <xf numFmtId="0" fontId="62" fillId="35" borderId="0" xfId="6" applyFont="1" applyFill="1" applyBorder="1" applyAlignment="1">
      <alignment horizontal="left" vertical="top"/>
    </xf>
    <xf numFmtId="0" fontId="0" fillId="0" borderId="131" xfId="0" applyBorder="1"/>
    <xf numFmtId="0" fontId="16" fillId="0" borderId="131" xfId="0" applyFont="1" applyBorder="1"/>
    <xf numFmtId="0" fontId="0" fillId="0" borderId="0" xfId="0" applyAlignment="1">
      <alignment vertical="top"/>
    </xf>
    <xf numFmtId="0" fontId="0" fillId="0" borderId="132" xfId="0" applyBorder="1"/>
    <xf numFmtId="0" fontId="0" fillId="0" borderId="85" xfId="0" applyBorder="1"/>
    <xf numFmtId="0" fontId="0" fillId="0" borderId="133" xfId="0" applyBorder="1"/>
    <xf numFmtId="0" fontId="42" fillId="35" borderId="0" xfId="6" applyFont="1" applyFill="1" applyBorder="1" applyAlignment="1">
      <alignment horizontal="left" vertical="center" indent="4"/>
    </xf>
    <xf numFmtId="0" fontId="88" fillId="35" borderId="0" xfId="6" applyFont="1" applyFill="1" applyAlignment="1">
      <alignment horizontal="left" vertical="center" indent="1"/>
    </xf>
    <xf numFmtId="0" fontId="88" fillId="35" borderId="0" xfId="6" applyFont="1" applyFill="1" applyAlignment="1">
      <alignment horizontal="left" vertical="center"/>
    </xf>
    <xf numFmtId="0" fontId="88" fillId="35" borderId="0" xfId="6" applyFont="1" applyFill="1" applyAlignment="1">
      <alignment vertical="center"/>
    </xf>
    <xf numFmtId="0" fontId="29" fillId="0" borderId="0" xfId="0" applyFont="1"/>
    <xf numFmtId="0" fontId="0" fillId="0" borderId="0" xfId="0" applyAlignment="1" applyProtection="1">
      <alignment vertical="top"/>
      <protection locked="0"/>
    </xf>
    <xf numFmtId="0" fontId="88" fillId="35" borderId="13" xfId="6" applyFont="1" applyFill="1" applyBorder="1" applyAlignment="1">
      <alignment horizontal="left" vertical="center" indent="1"/>
    </xf>
    <xf numFmtId="0" fontId="58" fillId="43" borderId="0" xfId="0" applyFont="1" applyFill="1"/>
    <xf numFmtId="0" fontId="58" fillId="40" borderId="0" xfId="0" applyFont="1" applyFill="1"/>
    <xf numFmtId="0" fontId="0" fillId="40" borderId="0" xfId="0" applyFill="1"/>
    <xf numFmtId="0" fontId="0" fillId="44" borderId="0" xfId="0" applyFill="1"/>
    <xf numFmtId="0" fontId="6" fillId="2" borderId="0" xfId="7"/>
    <xf numFmtId="0" fontId="42" fillId="34" borderId="64" xfId="0" applyFont="1" applyFill="1" applyBorder="1" applyAlignment="1">
      <alignment vertical="center"/>
    </xf>
    <xf numFmtId="0" fontId="42" fillId="34" borderId="0" xfId="0" applyFont="1" applyFill="1" applyAlignment="1">
      <alignment vertical="center"/>
    </xf>
    <xf numFmtId="0" fontId="42" fillId="34" borderId="56" xfId="0" applyFont="1" applyFill="1" applyBorder="1" applyAlignment="1">
      <alignment vertical="center"/>
    </xf>
    <xf numFmtId="0" fontId="42" fillId="34" borderId="85" xfId="0" applyFont="1" applyFill="1" applyBorder="1" applyAlignment="1">
      <alignment vertical="center"/>
    </xf>
    <xf numFmtId="0" fontId="42" fillId="34" borderId="48" xfId="0" applyFont="1" applyFill="1" applyBorder="1" applyAlignment="1">
      <alignment vertical="center"/>
    </xf>
    <xf numFmtId="0" fontId="42" fillId="34" borderId="47" xfId="0" applyFont="1" applyFill="1" applyBorder="1" applyAlignment="1">
      <alignment vertical="center"/>
    </xf>
    <xf numFmtId="0" fontId="42" fillId="34" borderId="40" xfId="0" applyFont="1" applyFill="1" applyBorder="1" applyAlignment="1">
      <alignment vertical="center"/>
    </xf>
    <xf numFmtId="0" fontId="42" fillId="34" borderId="46" xfId="0" applyFont="1" applyFill="1" applyBorder="1" applyAlignment="1">
      <alignment vertical="center"/>
    </xf>
    <xf numFmtId="0" fontId="42" fillId="34" borderId="63" xfId="0" applyFont="1" applyFill="1" applyBorder="1" applyAlignment="1">
      <alignment vertical="center"/>
    </xf>
    <xf numFmtId="0" fontId="42" fillId="34" borderId="47" xfId="0" applyFont="1" applyFill="1" applyBorder="1" applyAlignment="1">
      <alignment horizontal="left" vertical="center" indent="4"/>
    </xf>
    <xf numFmtId="0" fontId="29" fillId="34" borderId="0" xfId="0" applyFont="1" applyFill="1"/>
    <xf numFmtId="0" fontId="16" fillId="34" borderId="0" xfId="0" applyFont="1" applyFill="1"/>
    <xf numFmtId="0" fontId="42" fillId="34" borderId="85" xfId="0" applyFont="1" applyFill="1" applyBorder="1" applyAlignment="1">
      <alignment horizontal="left" vertical="center"/>
    </xf>
    <xf numFmtId="0" fontId="0" fillId="0" borderId="101" xfId="0" applyBorder="1"/>
    <xf numFmtId="0" fontId="0" fillId="0" borderId="103" xfId="0" applyBorder="1"/>
    <xf numFmtId="0" fontId="0" fillId="0" borderId="135" xfId="0" applyBorder="1"/>
    <xf numFmtId="0" fontId="0" fillId="0" borderId="136" xfId="0" applyBorder="1" applyAlignment="1">
      <alignment horizontal="left" vertical="top"/>
    </xf>
    <xf numFmtId="0" fontId="0" fillId="0" borderId="0" xfId="0" quotePrefix="1"/>
    <xf numFmtId="0" fontId="92" fillId="33" borderId="27" xfId="0" applyFont="1" applyFill="1" applyBorder="1" applyAlignment="1">
      <alignment horizontal="center" vertical="center"/>
    </xf>
    <xf numFmtId="0" fontId="92" fillId="35" borderId="27" xfId="0" applyFont="1" applyFill="1" applyBorder="1" applyAlignment="1">
      <alignment horizontal="center" vertical="center"/>
    </xf>
    <xf numFmtId="0" fontId="93" fillId="33" borderId="27" xfId="0" applyFont="1" applyFill="1" applyBorder="1" applyAlignment="1">
      <alignment horizontal="center" vertical="center"/>
    </xf>
    <xf numFmtId="0" fontId="94" fillId="33" borderId="27" xfId="0" applyFont="1" applyFill="1" applyBorder="1" applyAlignment="1">
      <alignment horizontal="center" vertical="center"/>
    </xf>
    <xf numFmtId="0" fontId="69" fillId="34" borderId="0" xfId="0" applyFont="1" applyFill="1" applyAlignment="1">
      <alignment horizontal="left" indent="1"/>
    </xf>
    <xf numFmtId="0" fontId="95" fillId="34" borderId="0" xfId="0" applyFont="1" applyFill="1"/>
    <xf numFmtId="0" fontId="29" fillId="34" borderId="45" xfId="6" applyFont="1" applyFill="1" applyBorder="1" applyAlignment="1">
      <alignment vertical="center"/>
    </xf>
    <xf numFmtId="0" fontId="29" fillId="34" borderId="123" xfId="6" applyFont="1" applyFill="1" applyBorder="1" applyAlignment="1">
      <alignment vertical="center"/>
    </xf>
    <xf numFmtId="0" fontId="62" fillId="34" borderId="42" xfId="3" applyFont="1" applyFill="1" applyBorder="1" applyAlignment="1">
      <alignment horizontal="left"/>
    </xf>
    <xf numFmtId="0" fontId="33" fillId="34" borderId="42" xfId="3" applyFont="1" applyFill="1" applyBorder="1" applyAlignment="1">
      <alignment horizontal="left"/>
    </xf>
    <xf numFmtId="0" fontId="22" fillId="34" borderId="0" xfId="0" applyFont="1" applyFill="1" applyAlignment="1">
      <alignment horizontal="left" vertical="center"/>
    </xf>
    <xf numFmtId="0" fontId="31" fillId="34" borderId="14" xfId="0" applyFont="1" applyFill="1" applyBorder="1" applyAlignment="1">
      <alignment vertical="top"/>
    </xf>
    <xf numFmtId="0" fontId="42" fillId="34" borderId="33" xfId="0" applyFont="1" applyFill="1" applyBorder="1"/>
    <xf numFmtId="0" fontId="29" fillId="34" borderId="0" xfId="3" applyFont="1" applyFill="1" applyBorder="1" applyAlignment="1">
      <alignment horizontal="left"/>
    </xf>
    <xf numFmtId="0" fontId="42" fillId="34" borderId="0" xfId="0" applyFont="1" applyFill="1" applyAlignment="1">
      <alignment wrapText="1"/>
    </xf>
    <xf numFmtId="0" fontId="42" fillId="34" borderId="0" xfId="0" applyFont="1" applyFill="1" applyAlignment="1">
      <alignment vertical="center" wrapText="1"/>
    </xf>
    <xf numFmtId="0" fontId="42" fillId="34" borderId="34" xfId="0" applyFont="1" applyFill="1" applyBorder="1"/>
    <xf numFmtId="0" fontId="96" fillId="34" borderId="0" xfId="6" applyFont="1" applyFill="1" applyAlignment="1">
      <alignment horizontal="right"/>
    </xf>
    <xf numFmtId="0" fontId="97" fillId="34" borderId="0" xfId="0" applyFont="1" applyFill="1" applyAlignment="1">
      <alignment horizontal="left"/>
    </xf>
    <xf numFmtId="0" fontId="24" fillId="34" borderId="41" xfId="6" applyFont="1" applyFill="1" applyBorder="1" applyAlignment="1">
      <alignment horizontal="right" vertical="center"/>
    </xf>
    <xf numFmtId="165" fontId="29" fillId="33" borderId="138" xfId="6" applyNumberFormat="1" applyFont="1" applyFill="1" applyBorder="1" applyAlignment="1">
      <alignment horizontal="center" vertical="center"/>
    </xf>
    <xf numFmtId="9" fontId="29" fillId="33" borderId="138" xfId="1" applyFont="1" applyFill="1" applyBorder="1" applyAlignment="1">
      <alignment horizontal="center" vertical="center"/>
    </xf>
    <xf numFmtId="0" fontId="42" fillId="34" borderId="0" xfId="0" applyFont="1" applyFill="1" applyAlignment="1">
      <alignment vertical="top" wrapText="1"/>
    </xf>
    <xf numFmtId="0" fontId="24" fillId="34" borderId="0" xfId="6" applyFont="1" applyFill="1" applyBorder="1" applyAlignment="1">
      <alignment horizontal="right" vertical="center"/>
    </xf>
    <xf numFmtId="0" fontId="53" fillId="34" borderId="0" xfId="6" applyFont="1" applyFill="1" applyAlignment="1">
      <alignment horizontal="left" vertical="center"/>
    </xf>
    <xf numFmtId="0" fontId="42" fillId="34" borderId="0" xfId="0" applyFont="1" applyFill="1" applyAlignment="1">
      <alignment horizontal="left" vertical="center" indent="1"/>
    </xf>
    <xf numFmtId="0" fontId="42" fillId="34" borderId="0" xfId="0" applyFont="1" applyFill="1" applyAlignment="1">
      <alignment horizontal="right"/>
    </xf>
    <xf numFmtId="0" fontId="98" fillId="34" borderId="0" xfId="6" applyFont="1" applyFill="1" applyAlignment="1">
      <alignment horizontal="left"/>
    </xf>
    <xf numFmtId="0" fontId="91" fillId="34" borderId="0" xfId="0" applyFont="1" applyFill="1"/>
    <xf numFmtId="0" fontId="42" fillId="34" borderId="0" xfId="0" applyFont="1" applyFill="1" applyAlignment="1">
      <alignment horizontal="left"/>
    </xf>
    <xf numFmtId="0" fontId="86" fillId="34" borderId="0" xfId="0" applyFont="1" applyFill="1" applyAlignment="1">
      <alignment vertical="top" wrapText="1"/>
    </xf>
    <xf numFmtId="0" fontId="62" fillId="35" borderId="58" xfId="6" applyFont="1" applyFill="1" applyBorder="1" applyAlignment="1" applyProtection="1">
      <alignment vertical="center"/>
      <protection locked="0"/>
    </xf>
    <xf numFmtId="0" fontId="29" fillId="35" borderId="58" xfId="6" applyFont="1" applyFill="1" applyBorder="1" applyAlignment="1" applyProtection="1">
      <alignment vertical="center"/>
      <protection locked="0"/>
    </xf>
    <xf numFmtId="1" fontId="16" fillId="34" borderId="0" xfId="0" applyNumberFormat="1" applyFont="1" applyFill="1" applyAlignment="1">
      <alignment horizontal="center" vertical="center"/>
    </xf>
    <xf numFmtId="0" fontId="29" fillId="35" borderId="0" xfId="6" applyFont="1" applyFill="1" applyBorder="1" applyAlignment="1">
      <alignment horizontal="left" vertical="center" indent="2"/>
    </xf>
    <xf numFmtId="0" fontId="42" fillId="35" borderId="13" xfId="6" applyFont="1" applyFill="1" applyBorder="1" applyAlignment="1">
      <alignment horizontal="left" vertical="center"/>
    </xf>
    <xf numFmtId="0" fontId="29" fillId="34" borderId="0" xfId="0" applyFont="1" applyFill="1" applyAlignment="1">
      <alignment horizontal="left" vertical="center" indent="1"/>
    </xf>
    <xf numFmtId="0" fontId="31" fillId="34" borderId="137" xfId="0" applyFont="1" applyFill="1" applyBorder="1" applyAlignment="1">
      <alignment vertical="center"/>
    </xf>
    <xf numFmtId="0" fontId="31" fillId="34" borderId="0" xfId="0" applyFont="1" applyFill="1" applyAlignment="1">
      <alignment vertical="center"/>
    </xf>
    <xf numFmtId="0" fontId="31" fillId="34" borderId="137" xfId="0" applyFont="1" applyFill="1" applyBorder="1" applyAlignment="1">
      <alignment horizontal="left" vertical="center" indent="1"/>
    </xf>
    <xf numFmtId="0" fontId="101" fillId="34" borderId="0" xfId="0" applyFont="1" applyFill="1" applyAlignment="1">
      <alignment horizontal="left" vertical="top"/>
    </xf>
    <xf numFmtId="0" fontId="84" fillId="34" borderId="0" xfId="0" applyFont="1" applyFill="1" applyProtection="1">
      <protection locked="0"/>
    </xf>
    <xf numFmtId="1" fontId="29" fillId="33" borderId="10" xfId="1" applyNumberFormat="1" applyFont="1" applyFill="1" applyBorder="1" applyAlignment="1" applyProtection="1">
      <alignment horizontal="center" vertical="center"/>
    </xf>
    <xf numFmtId="0" fontId="29" fillId="33" borderId="10" xfId="0" applyFont="1" applyFill="1" applyBorder="1" applyAlignment="1">
      <alignment horizontal="center"/>
    </xf>
    <xf numFmtId="0" fontId="31" fillId="35" borderId="14" xfId="6" applyFont="1" applyFill="1" applyBorder="1" applyAlignment="1">
      <alignment vertical="center" wrapText="1"/>
    </xf>
    <xf numFmtId="0" fontId="42" fillId="35" borderId="0" xfId="6" applyFont="1" applyFill="1" applyBorder="1" applyAlignment="1">
      <alignment horizontal="right" vertical="top"/>
    </xf>
    <xf numFmtId="0" fontId="42" fillId="35" borderId="0" xfId="6" applyFont="1" applyFill="1" applyBorder="1" applyAlignment="1">
      <alignment horizontal="right" vertical="center"/>
    </xf>
    <xf numFmtId="0" fontId="28" fillId="34" borderId="0" xfId="0" applyFont="1" applyFill="1" applyAlignment="1">
      <alignment horizontal="left" vertical="center"/>
    </xf>
    <xf numFmtId="0" fontId="28" fillId="34" borderId="0" xfId="0" applyFont="1" applyFill="1" applyAlignment="1">
      <alignment horizontal="right"/>
    </xf>
    <xf numFmtId="0" fontId="21" fillId="34" borderId="0" xfId="0" applyFont="1" applyFill="1" applyAlignment="1">
      <alignment horizontal="left"/>
    </xf>
    <xf numFmtId="0" fontId="0" fillId="34" borderId="0" xfId="0" applyFill="1" applyAlignment="1">
      <alignment horizontal="left" vertical="center" indent="1"/>
    </xf>
    <xf numFmtId="0" fontId="21" fillId="0" borderId="46" xfId="0" applyFont="1" applyBorder="1"/>
    <xf numFmtId="0" fontId="102" fillId="0" borderId="0" xfId="0" applyFont="1"/>
    <xf numFmtId="0" fontId="88" fillId="35" borderId="0" xfId="6" applyFont="1" applyFill="1" applyBorder="1" applyAlignment="1">
      <alignment horizontal="left" vertical="top"/>
    </xf>
    <xf numFmtId="0" fontId="66" fillId="0" borderId="0" xfId="0" applyFont="1" applyAlignment="1">
      <alignment horizontal="left"/>
    </xf>
    <xf numFmtId="0" fontId="0" fillId="0" borderId="139" xfId="0" applyBorder="1"/>
    <xf numFmtId="0" fontId="0" fillId="0" borderId="140" xfId="0" applyBorder="1"/>
    <xf numFmtId="0" fontId="103" fillId="0" borderId="0" xfId="0" applyFont="1"/>
    <xf numFmtId="0" fontId="103" fillId="0" borderId="0" xfId="0" applyFont="1" applyAlignment="1">
      <alignment horizontal="left" vertical="center"/>
    </xf>
    <xf numFmtId="2" fontId="103" fillId="0" borderId="0" xfId="0" applyNumberFormat="1" applyFont="1" applyAlignment="1">
      <alignment horizontal="left" vertical="center"/>
    </xf>
    <xf numFmtId="165" fontId="103" fillId="0" borderId="0" xfId="0" applyNumberFormat="1" applyFont="1" applyAlignment="1">
      <alignment horizontal="left" vertical="center"/>
    </xf>
    <xf numFmtId="0" fontId="16" fillId="0" borderId="0" xfId="0" applyFont="1" applyAlignment="1">
      <alignment horizontal="right"/>
    </xf>
    <xf numFmtId="0" fontId="16" fillId="0" borderId="0" xfId="0" applyFont="1" applyAlignment="1" applyProtection="1">
      <alignment horizontal="right"/>
      <protection locked="0"/>
    </xf>
    <xf numFmtId="0" fontId="0" fillId="0" borderId="0" xfId="0" applyAlignment="1" applyProtection="1">
      <alignment horizontal="right"/>
      <protection locked="0"/>
    </xf>
    <xf numFmtId="0" fontId="42" fillId="35" borderId="0" xfId="6" applyFont="1" applyFill="1" applyBorder="1" applyAlignment="1">
      <alignment horizontal="left" vertical="center" indent="3"/>
    </xf>
    <xf numFmtId="0" fontId="16" fillId="0" borderId="38" xfId="0" applyFont="1" applyBorder="1"/>
    <xf numFmtId="0" fontId="0" fillId="0" borderId="38" xfId="0" applyBorder="1" applyProtection="1">
      <protection locked="0"/>
    </xf>
    <xf numFmtId="0" fontId="66" fillId="0" borderId="0" xfId="0" applyFont="1" applyAlignment="1">
      <alignment horizontal="right"/>
    </xf>
    <xf numFmtId="169" fontId="29" fillId="34" borderId="0" xfId="0" applyNumberFormat="1" applyFont="1" applyFill="1" applyAlignment="1">
      <alignment horizontal="center" vertical="center"/>
    </xf>
    <xf numFmtId="49" fontId="0" fillId="34" borderId="0" xfId="0" applyNumberFormat="1" applyFill="1" applyAlignment="1">
      <alignment horizontal="center" vertical="center"/>
    </xf>
    <xf numFmtId="0" fontId="91" fillId="34" borderId="134" xfId="0" applyFont="1" applyFill="1" applyBorder="1" applyAlignment="1">
      <alignment vertical="center"/>
    </xf>
    <xf numFmtId="0" fontId="42" fillId="34" borderId="75" xfId="0" applyFont="1" applyFill="1" applyBorder="1" applyAlignment="1">
      <alignment vertical="center"/>
    </xf>
    <xf numFmtId="0" fontId="29" fillId="34" borderId="71" xfId="0" applyFont="1" applyFill="1" applyBorder="1" applyAlignment="1">
      <alignment vertical="center"/>
    </xf>
    <xf numFmtId="0" fontId="42" fillId="34" borderId="145" xfId="0" applyFont="1" applyFill="1" applyBorder="1" applyAlignment="1">
      <alignment vertical="center"/>
    </xf>
    <xf numFmtId="0" fontId="42" fillId="34" borderId="140" xfId="0" applyFont="1" applyFill="1" applyBorder="1"/>
    <xf numFmtId="0" fontId="0" fillId="34" borderId="38" xfId="0" applyFill="1" applyBorder="1"/>
    <xf numFmtId="0" fontId="42" fillId="34" borderId="147" xfId="0" applyFont="1" applyFill="1" applyBorder="1"/>
    <xf numFmtId="0" fontId="42" fillId="34" borderId="88" xfId="0" applyFont="1" applyFill="1" applyBorder="1" applyAlignment="1">
      <alignment vertical="center"/>
    </xf>
    <xf numFmtId="0" fontId="42" fillId="34" borderId="86" xfId="0" applyFont="1" applyFill="1" applyBorder="1" applyAlignment="1">
      <alignment vertical="center"/>
    </xf>
    <xf numFmtId="0" fontId="42" fillId="34" borderId="142" xfId="0" applyFont="1" applyFill="1" applyBorder="1" applyAlignment="1">
      <alignment vertical="center"/>
    </xf>
    <xf numFmtId="0" fontId="42" fillId="34" borderId="70" xfId="0" applyFont="1" applyFill="1" applyBorder="1" applyAlignment="1">
      <alignment vertical="center"/>
    </xf>
    <xf numFmtId="0" fontId="29" fillId="34" borderId="40" xfId="0" applyFont="1" applyFill="1" applyBorder="1"/>
    <xf numFmtId="0" fontId="29" fillId="34" borderId="148" xfId="0" applyFont="1" applyFill="1" applyBorder="1" applyAlignment="1">
      <alignment vertical="center"/>
    </xf>
    <xf numFmtId="0" fontId="91" fillId="34" borderId="62" xfId="0" applyFont="1" applyFill="1" applyBorder="1" applyAlignment="1">
      <alignment vertical="center"/>
    </xf>
    <xf numFmtId="0" fontId="42" fillId="34" borderId="140" xfId="0" applyFont="1" applyFill="1" applyBorder="1" applyAlignment="1">
      <alignment vertical="center"/>
    </xf>
    <xf numFmtId="0" fontId="42" fillId="34" borderId="104" xfId="0" applyFont="1" applyFill="1" applyBorder="1" applyAlignment="1">
      <alignment vertical="center"/>
    </xf>
    <xf numFmtId="0" fontId="42" fillId="34" borderId="146" xfId="0" applyFont="1" applyFill="1" applyBorder="1" applyAlignment="1">
      <alignment vertical="center"/>
    </xf>
    <xf numFmtId="0" fontId="42" fillId="34" borderId="38" xfId="0" applyFont="1" applyFill="1" applyBorder="1" applyAlignment="1">
      <alignment vertical="center"/>
    </xf>
    <xf numFmtId="0" fontId="42" fillId="34" borderId="150" xfId="0" applyFont="1" applyFill="1" applyBorder="1"/>
    <xf numFmtId="0" fontId="0" fillId="34" borderId="150" xfId="0" applyFill="1" applyBorder="1"/>
    <xf numFmtId="0" fontId="29" fillId="34" borderId="70" xfId="0" applyFont="1" applyFill="1" applyBorder="1"/>
    <xf numFmtId="0" fontId="0" fillId="34" borderId="151" xfId="0" applyFill="1" applyBorder="1"/>
    <xf numFmtId="0" fontId="42" fillId="34" borderId="149" xfId="0" applyFont="1" applyFill="1" applyBorder="1" applyAlignment="1">
      <alignment vertical="center"/>
    </xf>
    <xf numFmtId="0" fontId="42" fillId="35" borderId="0" xfId="0" applyFont="1" applyFill="1"/>
    <xf numFmtId="0" fontId="106" fillId="0" borderId="0" xfId="0" applyFont="1" applyAlignment="1">
      <alignment vertical="center"/>
    </xf>
    <xf numFmtId="0" fontId="107" fillId="0" borderId="0" xfId="0" applyFont="1" applyAlignment="1">
      <alignment vertical="center"/>
    </xf>
    <xf numFmtId="0" fontId="106" fillId="0" borderId="0" xfId="0" applyFont="1"/>
    <xf numFmtId="0" fontId="108" fillId="0" borderId="0" xfId="0" applyFont="1"/>
    <xf numFmtId="0" fontId="106" fillId="0" borderId="64" xfId="0" applyFont="1" applyBorder="1" applyAlignment="1">
      <alignment horizontal="center"/>
    </xf>
    <xf numFmtId="0" fontId="106" fillId="0" borderId="0" xfId="0" applyFont="1" applyAlignment="1">
      <alignment horizontal="left" vertical="center"/>
    </xf>
    <xf numFmtId="0" fontId="109" fillId="0" borderId="0" xfId="0" applyFont="1"/>
    <xf numFmtId="0" fontId="110" fillId="0" borderId="0" xfId="0" applyFont="1" applyAlignment="1">
      <alignment vertical="top" wrapText="1"/>
    </xf>
    <xf numFmtId="0" fontId="108" fillId="0" borderId="0" xfId="0" applyFont="1" applyAlignment="1">
      <alignment horizontal="left" vertical="center"/>
    </xf>
    <xf numFmtId="0" fontId="110" fillId="0" borderId="0" xfId="0" applyFont="1" applyAlignment="1">
      <alignment horizontal="left" vertical="center"/>
    </xf>
    <xf numFmtId="0" fontId="106" fillId="0" borderId="0" xfId="0" applyFont="1" applyAlignment="1">
      <alignment horizontal="left"/>
    </xf>
    <xf numFmtId="0" fontId="110" fillId="0" borderId="0" xfId="0" applyFont="1" applyAlignment="1">
      <alignment vertical="top"/>
    </xf>
    <xf numFmtId="165" fontId="106" fillId="0" borderId="0" xfId="0" applyNumberFormat="1" applyFont="1"/>
    <xf numFmtId="0" fontId="110" fillId="0" borderId="0" xfId="0" applyFont="1" applyAlignment="1">
      <alignment horizontal="left"/>
    </xf>
    <xf numFmtId="2" fontId="106" fillId="0" borderId="0" xfId="0" applyNumberFormat="1" applyFont="1" applyAlignment="1">
      <alignment horizontal="left" vertical="center"/>
    </xf>
    <xf numFmtId="0" fontId="106" fillId="0" borderId="0" xfId="0" applyFont="1" applyAlignment="1">
      <alignment horizontal="left" vertical="top" wrapText="1"/>
    </xf>
    <xf numFmtId="0" fontId="108" fillId="0" borderId="0" xfId="0" applyFont="1" applyAlignment="1">
      <alignment vertical="center"/>
    </xf>
    <xf numFmtId="0" fontId="111" fillId="0" borderId="0" xfId="0" applyFont="1" applyAlignment="1">
      <alignment horizontal="right"/>
    </xf>
    <xf numFmtId="0" fontId="106" fillId="0" borderId="0" xfId="0" applyFont="1" applyAlignment="1" applyProtection="1">
      <alignment horizontal="left"/>
      <protection locked="0"/>
    </xf>
    <xf numFmtId="0" fontId="108" fillId="0" borderId="0" xfId="0" applyFont="1" applyAlignment="1" applyProtection="1">
      <alignment horizontal="left" vertical="center"/>
      <protection locked="0"/>
    </xf>
    <xf numFmtId="0" fontId="0" fillId="34" borderId="141" xfId="0" applyFill="1" applyBorder="1" applyAlignment="1">
      <alignment horizontal="center" vertical="center"/>
    </xf>
    <xf numFmtId="0" fontId="16" fillId="34" borderId="0" xfId="0" applyFont="1" applyFill="1" applyAlignment="1">
      <alignment horizontal="left" vertical="top" wrapText="1"/>
    </xf>
    <xf numFmtId="0" fontId="0" fillId="0" borderId="46" xfId="0" applyBorder="1" applyAlignment="1">
      <alignment horizontal="right"/>
    </xf>
    <xf numFmtId="0" fontId="31" fillId="35" borderId="0" xfId="0" applyFont="1" applyFill="1" applyAlignment="1">
      <alignment horizontal="left"/>
    </xf>
    <xf numFmtId="0" fontId="112" fillId="36" borderId="12" xfId="43" applyFont="1" applyFill="1" applyBorder="1" applyAlignment="1">
      <alignment horizontal="center" vertical="center"/>
    </xf>
    <xf numFmtId="0" fontId="0" fillId="0" borderId="136" xfId="0" applyBorder="1"/>
    <xf numFmtId="0" fontId="29" fillId="34" borderId="0" xfId="0" applyFont="1" applyFill="1" applyAlignment="1">
      <alignment horizontal="left" vertical="center"/>
    </xf>
    <xf numFmtId="0" fontId="42" fillId="34" borderId="41" xfId="6" applyFont="1" applyFill="1" applyBorder="1" applyAlignment="1">
      <alignment horizontal="left" vertical="center"/>
    </xf>
    <xf numFmtId="0" fontId="42" fillId="35" borderId="0" xfId="0" applyFont="1" applyFill="1" applyAlignment="1">
      <alignment horizontal="center" vertical="center"/>
    </xf>
    <xf numFmtId="0" fontId="88" fillId="35" borderId="0" xfId="0" applyFont="1" applyFill="1" applyAlignment="1">
      <alignment horizontal="right" vertical="top"/>
    </xf>
    <xf numFmtId="0" fontId="42" fillId="35" borderId="0" xfId="6" applyFont="1" applyFill="1" applyBorder="1" applyAlignment="1">
      <alignment horizontal="left" vertical="center" indent="2"/>
    </xf>
    <xf numFmtId="0" fontId="88" fillId="35" borderId="0" xfId="6" applyFont="1" applyFill="1" applyBorder="1" applyAlignment="1">
      <alignment horizontal="left" vertical="center"/>
    </xf>
    <xf numFmtId="0" fontId="88" fillId="35" borderId="0" xfId="0" applyFont="1" applyFill="1" applyAlignment="1">
      <alignment horizontal="left" vertical="center"/>
    </xf>
    <xf numFmtId="0" fontId="88" fillId="35" borderId="0" xfId="0" applyFont="1" applyFill="1" applyAlignment="1">
      <alignment vertical="center"/>
    </xf>
    <xf numFmtId="0" fontId="31" fillId="35" borderId="0" xfId="6" applyFont="1" applyFill="1" applyBorder="1" applyAlignment="1">
      <alignment horizontal="left" vertical="top" wrapText="1"/>
    </xf>
    <xf numFmtId="0" fontId="42" fillId="35" borderId="0" xfId="0" applyFont="1" applyFill="1" applyAlignment="1">
      <alignment horizontal="left" vertical="center" indent="1"/>
    </xf>
    <xf numFmtId="0" fontId="31" fillId="35" borderId="0" xfId="6" applyFont="1" applyFill="1" applyBorder="1" applyAlignment="1">
      <alignment horizontal="left"/>
    </xf>
    <xf numFmtId="0" fontId="106" fillId="0" borderId="0" xfId="0" applyFont="1" applyAlignment="1">
      <alignment horizontal="left" vertical="center" wrapText="1"/>
    </xf>
    <xf numFmtId="0" fontId="106" fillId="0" borderId="0" xfId="0" applyFont="1" applyAlignment="1">
      <alignment vertical="top" wrapText="1"/>
    </xf>
    <xf numFmtId="0" fontId="29" fillId="34" borderId="0" xfId="3" applyFont="1" applyFill="1" applyBorder="1" applyAlignment="1">
      <alignment vertical="top" wrapText="1"/>
    </xf>
    <xf numFmtId="0" fontId="42" fillId="35" borderId="0" xfId="0" applyFont="1" applyFill="1" applyAlignment="1">
      <alignment horizontal="left" vertical="top"/>
    </xf>
    <xf numFmtId="0" fontId="42" fillId="35" borderId="0" xfId="0" applyFont="1" applyFill="1" applyAlignment="1">
      <alignment vertical="center" wrapText="1"/>
    </xf>
    <xf numFmtId="0" fontId="31" fillId="35" borderId="0" xfId="6" applyFont="1" applyFill="1" applyBorder="1" applyAlignment="1">
      <alignment horizontal="left" vertical="top"/>
    </xf>
    <xf numFmtId="0" fontId="0" fillId="34" borderId="58" xfId="0" applyFill="1" applyBorder="1" applyAlignment="1" applyProtection="1">
      <alignment vertical="center"/>
      <protection locked="0"/>
    </xf>
    <xf numFmtId="0" fontId="0" fillId="34" borderId="0" xfId="0" applyFill="1" applyAlignment="1" applyProtection="1">
      <alignment vertical="center"/>
      <protection locked="0"/>
    </xf>
    <xf numFmtId="0" fontId="0" fillId="34" borderId="16" xfId="0" applyFill="1" applyBorder="1" applyAlignment="1" applyProtection="1">
      <alignment vertical="center"/>
      <protection locked="0"/>
    </xf>
    <xf numFmtId="9" fontId="29" fillId="33" borderId="24" xfId="1" applyFont="1" applyFill="1" applyBorder="1" applyAlignment="1">
      <alignment horizontal="center" vertical="center"/>
    </xf>
    <xf numFmtId="165" fontId="24" fillId="33" borderId="152" xfId="6" applyNumberFormat="1" applyFont="1" applyFill="1" applyBorder="1" applyAlignment="1">
      <alignment horizontal="center" vertical="center"/>
    </xf>
    <xf numFmtId="0" fontId="86" fillId="34" borderId="153" xfId="6" applyFont="1" applyFill="1" applyBorder="1" applyAlignment="1">
      <alignment vertical="center"/>
    </xf>
    <xf numFmtId="0" fontId="24" fillId="34" borderId="153" xfId="6" applyFont="1" applyFill="1" applyBorder="1" applyAlignment="1">
      <alignment vertical="center"/>
    </xf>
    <xf numFmtId="0" fontId="24" fillId="34" borderId="154" xfId="6" applyFont="1" applyFill="1" applyBorder="1" applyAlignment="1">
      <alignment vertical="center"/>
    </xf>
    <xf numFmtId="0" fontId="24" fillId="34" borderId="16" xfId="6" applyFont="1" applyFill="1" applyBorder="1" applyAlignment="1">
      <alignment vertical="center"/>
    </xf>
    <xf numFmtId="9" fontId="29" fillId="33" borderId="24" xfId="6" applyNumberFormat="1" applyFont="1" applyFill="1" applyBorder="1" applyAlignment="1">
      <alignment horizontal="center" vertical="center"/>
    </xf>
    <xf numFmtId="1" fontId="68" fillId="34" borderId="0" xfId="1" applyNumberFormat="1" applyFont="1" applyFill="1" applyBorder="1" applyAlignment="1" applyProtection="1">
      <alignment horizontal="left" vertical="center"/>
      <protection locked="0"/>
    </xf>
    <xf numFmtId="0" fontId="68" fillId="34" borderId="0" xfId="0" applyFont="1" applyFill="1" applyAlignment="1">
      <alignment horizontal="left"/>
    </xf>
    <xf numFmtId="0" fontId="45" fillId="34" borderId="0" xfId="0" applyFont="1" applyFill="1"/>
    <xf numFmtId="2" fontId="0" fillId="37" borderId="0" xfId="0" applyNumberFormat="1" applyFill="1"/>
    <xf numFmtId="165" fontId="0" fillId="0" borderId="0" xfId="0" applyNumberFormat="1" applyFill="1"/>
    <xf numFmtId="2" fontId="0" fillId="0" borderId="0" xfId="0" applyNumberFormat="1" applyFill="1"/>
    <xf numFmtId="0" fontId="0" fillId="0" borderId="0" xfId="0" applyFill="1"/>
    <xf numFmtId="0" fontId="0" fillId="0" borderId="0" xfId="0" applyFont="1"/>
    <xf numFmtId="0" fontId="32" fillId="0" borderId="0" xfId="43"/>
    <xf numFmtId="0" fontId="0" fillId="35" borderId="0" xfId="0" applyFill="1"/>
    <xf numFmtId="0" fontId="42" fillId="35" borderId="0" xfId="6" applyFont="1" applyFill="1" applyBorder="1" applyAlignment="1" applyProtection="1">
      <alignment horizontal="left" vertical="top" wrapText="1"/>
    </xf>
    <xf numFmtId="0" fontId="29" fillId="35" borderId="51" xfId="6" applyFont="1" applyFill="1" applyBorder="1" applyAlignment="1">
      <alignment horizontal="left" vertical="top" wrapText="1"/>
    </xf>
    <xf numFmtId="0" fontId="29" fillId="35" borderId="43" xfId="6" applyFont="1" applyFill="1" applyBorder="1" applyAlignment="1">
      <alignment horizontal="left" vertical="top" wrapText="1"/>
    </xf>
    <xf numFmtId="0" fontId="42" fillId="35" borderId="0" xfId="6" applyFont="1" applyFill="1" applyBorder="1" applyAlignment="1">
      <alignment horizontal="left" vertical="center" indent="4"/>
    </xf>
    <xf numFmtId="0" fontId="42" fillId="35" borderId="0" xfId="6" applyFont="1" applyFill="1" applyBorder="1" applyAlignment="1">
      <alignment horizontal="center" vertical="center"/>
    </xf>
    <xf numFmtId="0" fontId="88" fillId="35" borderId="0" xfId="6" applyFont="1" applyFill="1" applyBorder="1" applyAlignment="1">
      <alignment horizontal="left" vertical="top" indent="3"/>
    </xf>
    <xf numFmtId="0" fontId="42" fillId="34" borderId="0" xfId="0" applyFont="1" applyFill="1" applyAlignment="1" applyProtection="1">
      <alignment horizontal="center" vertical="center"/>
      <protection locked="0"/>
    </xf>
    <xf numFmtId="0" fontId="42" fillId="34" borderId="16" xfId="0" applyFont="1" applyFill="1" applyBorder="1" applyAlignment="1" applyProtection="1">
      <alignment horizontal="center" vertical="center"/>
      <protection locked="0"/>
    </xf>
    <xf numFmtId="0" fontId="42" fillId="34" borderId="43" xfId="0" applyFont="1" applyFill="1" applyBorder="1" applyAlignment="1" applyProtection="1">
      <alignment horizontal="center" vertical="center"/>
      <protection locked="0"/>
    </xf>
    <xf numFmtId="0" fontId="42" fillId="35" borderId="0" xfId="0" applyFont="1" applyFill="1" applyAlignment="1">
      <alignment horizontal="left" vertical="center" wrapText="1"/>
    </xf>
    <xf numFmtId="0" fontId="42" fillId="34" borderId="51" xfId="0" applyFont="1" applyFill="1" applyBorder="1" applyAlignment="1" applyProtection="1">
      <alignment horizontal="center" vertical="center" wrapText="1"/>
      <protection locked="0"/>
    </xf>
    <xf numFmtId="0" fontId="42" fillId="34" borderId="0" xfId="0" applyFont="1" applyFill="1" applyAlignment="1" applyProtection="1">
      <alignment horizontal="center" vertical="center" wrapText="1"/>
      <protection locked="0"/>
    </xf>
    <xf numFmtId="0" fontId="42" fillId="34" borderId="43" xfId="0" applyFont="1" applyFill="1" applyBorder="1" applyAlignment="1" applyProtection="1">
      <alignment horizontal="center" vertical="center" wrapText="1"/>
      <protection locked="0"/>
    </xf>
    <xf numFmtId="0" fontId="29" fillId="34" borderId="0" xfId="0" applyFont="1" applyFill="1" applyAlignment="1" applyProtection="1">
      <alignment horizontal="center" vertical="center" wrapText="1"/>
      <protection locked="0"/>
    </xf>
    <xf numFmtId="0" fontId="29" fillId="34" borderId="51" xfId="0" applyFont="1" applyFill="1" applyBorder="1" applyAlignment="1" applyProtection="1">
      <alignment horizontal="center" vertical="center" wrapText="1"/>
      <protection locked="0"/>
    </xf>
    <xf numFmtId="0" fontId="29" fillId="34" borderId="43" xfId="0" applyFont="1" applyFill="1" applyBorder="1" applyAlignment="1" applyProtection="1">
      <alignment horizontal="center" vertical="center" wrapText="1"/>
      <protection locked="0"/>
    </xf>
    <xf numFmtId="0" fontId="42" fillId="34" borderId="49" xfId="0" applyFont="1" applyFill="1" applyBorder="1" applyAlignment="1">
      <alignment horizontal="center" vertical="center"/>
    </xf>
    <xf numFmtId="0" fontId="42" fillId="34" borderId="0" xfId="0" applyFont="1" applyFill="1" applyAlignment="1">
      <alignment horizontal="center" vertical="center"/>
    </xf>
    <xf numFmtId="0" fontId="31" fillId="34" borderId="49" xfId="0" applyFont="1" applyFill="1" applyBorder="1" applyAlignment="1">
      <alignment horizontal="left" vertical="top" wrapText="1" indent="1"/>
    </xf>
    <xf numFmtId="0" fontId="31" fillId="34" borderId="0" xfId="0" applyFont="1" applyFill="1" applyAlignment="1">
      <alignment horizontal="left" vertical="top" wrapText="1" indent="1"/>
    </xf>
    <xf numFmtId="0" fontId="31" fillId="34" borderId="14" xfId="0" applyFont="1" applyFill="1" applyBorder="1" applyAlignment="1">
      <alignment horizontal="left" vertical="top" wrapText="1" indent="1"/>
    </xf>
    <xf numFmtId="0" fontId="42" fillId="35" borderId="13" xfId="6" applyFont="1" applyFill="1" applyBorder="1" applyAlignment="1">
      <alignment horizontal="center" vertical="center"/>
    </xf>
    <xf numFmtId="0" fontId="31" fillId="34" borderId="137" xfId="0" quotePrefix="1" applyFont="1" applyFill="1" applyBorder="1" applyAlignment="1">
      <alignment horizontal="left" vertical="top" wrapText="1" indent="1"/>
    </xf>
    <xf numFmtId="0" fontId="31" fillId="34" borderId="0" xfId="0" quotePrefix="1" applyFont="1" applyFill="1" applyAlignment="1">
      <alignment horizontal="left" vertical="top" wrapText="1" indent="1"/>
    </xf>
    <xf numFmtId="0" fontId="31" fillId="34" borderId="14" xfId="0" quotePrefix="1" applyFont="1" applyFill="1" applyBorder="1" applyAlignment="1">
      <alignment horizontal="left" vertical="top" wrapText="1" indent="1"/>
    </xf>
    <xf numFmtId="0" fontId="42" fillId="35" borderId="0" xfId="6" applyFont="1" applyFill="1" applyAlignment="1">
      <alignment horizontal="left" vertical="center"/>
    </xf>
    <xf numFmtId="0" fontId="0" fillId="35" borderId="0" xfId="0" applyFill="1" applyAlignment="1">
      <alignment horizontal="left" wrapText="1"/>
    </xf>
    <xf numFmtId="0" fontId="42" fillId="35" borderId="13" xfId="6" applyFont="1" applyFill="1" applyBorder="1" applyAlignment="1">
      <alignment horizontal="left" vertical="center" indent="4"/>
    </xf>
    <xf numFmtId="0" fontId="42" fillId="35" borderId="0" xfId="0" applyFont="1" applyFill="1" applyAlignment="1">
      <alignment horizontal="center" vertical="center"/>
    </xf>
    <xf numFmtId="0" fontId="56" fillId="34" borderId="43" xfId="0" applyFont="1" applyFill="1" applyBorder="1" applyAlignment="1" applyProtection="1">
      <alignment horizontal="left"/>
      <protection locked="0"/>
    </xf>
    <xf numFmtId="0" fontId="28" fillId="0" borderId="0" xfId="6" quotePrefix="1" applyFont="1" applyAlignment="1">
      <alignment horizontal="left"/>
    </xf>
    <xf numFmtId="0" fontId="28" fillId="0" borderId="0" xfId="6" applyFont="1" applyAlignment="1">
      <alignment horizontal="left"/>
    </xf>
    <xf numFmtId="0" fontId="28" fillId="0" borderId="0" xfId="6" applyFont="1" applyAlignment="1">
      <alignment horizontal="right"/>
    </xf>
    <xf numFmtId="0" fontId="28" fillId="35" borderId="0" xfId="6" applyFont="1" applyFill="1" applyAlignment="1">
      <alignment horizontal="right"/>
    </xf>
    <xf numFmtId="0" fontId="28" fillId="35" borderId="28" xfId="6" applyFont="1" applyFill="1" applyBorder="1" applyAlignment="1">
      <alignment horizontal="right"/>
    </xf>
    <xf numFmtId="0" fontId="27" fillId="34" borderId="0" xfId="3" applyFont="1" applyFill="1" applyBorder="1" applyAlignment="1">
      <alignment horizontal="left"/>
    </xf>
    <xf numFmtId="0" fontId="33" fillId="34" borderId="11" xfId="3" applyFont="1" applyFill="1" applyBorder="1" applyAlignment="1">
      <alignment horizontal="left"/>
    </xf>
    <xf numFmtId="0" fontId="28" fillId="35" borderId="0" xfId="0" applyFont="1" applyFill="1" applyAlignment="1">
      <alignment horizontal="center" vertical="center"/>
    </xf>
    <xf numFmtId="0" fontId="31" fillId="35" borderId="0" xfId="6" applyFont="1" applyFill="1" applyBorder="1" applyAlignment="1">
      <alignment horizontal="left" vertical="top" wrapText="1"/>
    </xf>
    <xf numFmtId="0" fontId="42" fillId="35" borderId="0" xfId="6" applyFont="1" applyFill="1" applyBorder="1" applyAlignment="1">
      <alignment horizontal="left" vertical="top" wrapText="1"/>
    </xf>
    <xf numFmtId="0" fontId="42" fillId="35" borderId="0" xfId="6" applyFont="1" applyFill="1" applyBorder="1" applyAlignment="1" applyProtection="1">
      <alignment horizontal="left" vertical="top" wrapText="1" indent="1"/>
    </xf>
    <xf numFmtId="0" fontId="42" fillId="35" borderId="0" xfId="0" applyFont="1" applyFill="1" applyAlignment="1">
      <alignment horizontal="left" vertical="top" wrapText="1"/>
    </xf>
    <xf numFmtId="0" fontId="42" fillId="35" borderId="0" xfId="0" applyFont="1" applyFill="1" applyAlignment="1">
      <alignment horizontal="left" vertical="center" indent="1"/>
    </xf>
    <xf numFmtId="0" fontId="42" fillId="35" borderId="0" xfId="0" applyFont="1" applyFill="1" applyAlignment="1">
      <alignment horizontal="left" vertical="center" wrapText="1" indent="1"/>
    </xf>
    <xf numFmtId="0" fontId="29" fillId="35" borderId="0" xfId="6" applyFont="1" applyFill="1" applyBorder="1" applyAlignment="1">
      <alignment horizontal="left" wrapText="1"/>
    </xf>
    <xf numFmtId="0" fontId="42" fillId="34" borderId="0" xfId="0" applyFont="1" applyFill="1" applyAlignment="1">
      <alignment horizontal="left" vertical="top" wrapText="1"/>
    </xf>
    <xf numFmtId="0" fontId="53" fillId="34" borderId="0" xfId="6" applyFont="1" applyFill="1" applyAlignment="1">
      <alignment horizontal="left" vertical="top" wrapText="1"/>
    </xf>
    <xf numFmtId="0" fontId="42" fillId="34" borderId="85" xfId="0" applyFont="1" applyFill="1" applyBorder="1" applyAlignment="1">
      <alignment horizontal="left" vertical="center" wrapText="1"/>
    </xf>
    <xf numFmtId="0" fontId="42" fillId="34" borderId="142" xfId="0" applyFont="1" applyFill="1" applyBorder="1" applyAlignment="1">
      <alignment horizontal="left" vertical="center" wrapText="1"/>
    </xf>
    <xf numFmtId="0" fontId="42" fillId="34" borderId="47" xfId="0" applyFont="1" applyFill="1" applyBorder="1" applyAlignment="1">
      <alignment horizontal="left" vertical="center" wrapText="1"/>
    </xf>
    <xf numFmtId="0" fontId="42" fillId="34" borderId="0" xfId="0" applyFont="1" applyFill="1" applyAlignment="1">
      <alignment horizontal="left" vertical="center" wrapText="1"/>
    </xf>
    <xf numFmtId="0" fontId="0" fillId="34" borderId="0" xfId="0" applyFill="1" applyAlignment="1">
      <alignment horizontal="left" vertical="top" wrapText="1"/>
    </xf>
    <xf numFmtId="0" fontId="86" fillId="34" borderId="49" xfId="0" applyFont="1" applyFill="1" applyBorder="1" applyAlignment="1">
      <alignment horizontal="left" vertical="center" wrapText="1"/>
    </xf>
    <xf numFmtId="0" fontId="86" fillId="34" borderId="0" xfId="0" applyFont="1" applyFill="1" applyAlignment="1">
      <alignment horizontal="left" vertical="center" wrapText="1"/>
    </xf>
    <xf numFmtId="0" fontId="97" fillId="34" borderId="0" xfId="0" applyFont="1" applyFill="1" applyAlignment="1">
      <alignment horizontal="left" vertical="top" wrapText="1"/>
    </xf>
    <xf numFmtId="0" fontId="85" fillId="33" borderId="101" xfId="0" applyFont="1" applyFill="1" applyBorder="1" applyAlignment="1">
      <alignment horizontal="center"/>
    </xf>
    <xf numFmtId="0" fontId="85" fillId="33" borderId="103" xfId="0" applyFont="1" applyFill="1" applyBorder="1" applyAlignment="1">
      <alignment horizontal="center"/>
    </xf>
    <xf numFmtId="0" fontId="85" fillId="33" borderId="102" xfId="0" applyFont="1" applyFill="1" applyBorder="1" applyAlignment="1">
      <alignment horizontal="right" indent="1"/>
    </xf>
    <xf numFmtId="0" fontId="29" fillId="34" borderId="46" xfId="0" applyFont="1" applyFill="1" applyBorder="1" applyAlignment="1">
      <alignment horizontal="left"/>
    </xf>
    <xf numFmtId="0" fontId="29" fillId="34" borderId="88" xfId="0" applyFont="1" applyFill="1" applyBorder="1" applyAlignment="1">
      <alignment horizontal="left"/>
    </xf>
    <xf numFmtId="0" fontId="91" fillId="34" borderId="143" xfId="0" applyFont="1" applyFill="1" applyBorder="1" applyAlignment="1">
      <alignment horizontal="left" vertical="top" wrapText="1"/>
    </xf>
    <xf numFmtId="0" fontId="91" fillId="34" borderId="144" xfId="0" applyFont="1" applyFill="1" applyBorder="1" applyAlignment="1">
      <alignment horizontal="left" vertical="top" wrapText="1"/>
    </xf>
    <xf numFmtId="0" fontId="91" fillId="34" borderId="149" xfId="0" applyFont="1" applyFill="1" applyBorder="1" applyAlignment="1">
      <alignment horizontal="left" vertical="top" wrapText="1"/>
    </xf>
    <xf numFmtId="0" fontId="29" fillId="34" borderId="0" xfId="3" applyFont="1" applyFill="1" applyBorder="1" applyAlignment="1">
      <alignment horizontal="left" vertical="top" wrapText="1"/>
    </xf>
    <xf numFmtId="0" fontId="16" fillId="34" borderId="0" xfId="0" applyFont="1" applyFill="1" applyAlignment="1">
      <alignment horizontal="center" vertical="center"/>
    </xf>
    <xf numFmtId="0" fontId="16" fillId="34" borderId="0" xfId="0" applyFont="1" applyFill="1" applyAlignment="1">
      <alignment horizontal="left" vertical="top" wrapText="1"/>
    </xf>
    <xf numFmtId="0" fontId="0" fillId="34" borderId="91" xfId="0" applyFill="1" applyBorder="1" applyAlignment="1">
      <alignment horizontal="center" vertical="center"/>
    </xf>
    <xf numFmtId="0" fontId="0" fillId="34" borderId="93" xfId="0" applyFill="1" applyBorder="1" applyAlignment="1">
      <alignment horizontal="center" vertical="center"/>
    </xf>
    <xf numFmtId="169" fontId="0" fillId="34" borderId="0" xfId="0" applyNumberFormat="1" applyFill="1" applyAlignment="1">
      <alignment horizontal="center" vertical="center" wrapText="1"/>
    </xf>
    <xf numFmtId="169" fontId="0" fillId="34" borderId="94" xfId="0" applyNumberFormat="1" applyFill="1" applyBorder="1" applyAlignment="1">
      <alignment horizontal="center" vertical="center" wrapText="1"/>
    </xf>
    <xf numFmtId="0" fontId="0" fillId="34" borderId="141" xfId="0" applyFill="1" applyBorder="1" applyAlignment="1">
      <alignment horizontal="center" vertical="center"/>
    </xf>
    <xf numFmtId="0" fontId="0" fillId="34" borderId="0" xfId="0" applyFill="1" applyAlignment="1">
      <alignment horizontal="center" vertical="center"/>
    </xf>
    <xf numFmtId="0" fontId="106" fillId="0" borderId="0" xfId="0" applyFont="1" applyAlignment="1">
      <alignment horizontal="left" vertical="top" wrapText="1"/>
    </xf>
    <xf numFmtId="0" fontId="106" fillId="0" borderId="0" xfId="0" applyFont="1" applyAlignment="1">
      <alignment horizontal="left" vertical="top"/>
    </xf>
    <xf numFmtId="0" fontId="106" fillId="0" borderId="0" xfId="0" applyFont="1" applyAlignment="1" applyProtection="1">
      <alignment vertical="center"/>
      <protection locked="0"/>
    </xf>
    <xf numFmtId="0" fontId="110" fillId="0" borderId="0" xfId="0" applyFont="1" applyAlignment="1">
      <alignment horizontal="left" vertical="top" wrapText="1"/>
    </xf>
    <xf numFmtId="0" fontId="16" fillId="34" borderId="73" xfId="0" applyFont="1" applyFill="1" applyBorder="1" applyAlignment="1">
      <alignment horizontal="center" vertical="center"/>
    </xf>
    <xf numFmtId="0" fontId="16" fillId="34" borderId="75" xfId="0" applyFont="1" applyFill="1" applyBorder="1" applyAlignment="1">
      <alignment horizontal="center" vertical="center"/>
    </xf>
    <xf numFmtId="0" fontId="16" fillId="34" borderId="64" xfId="0" applyFont="1" applyFill="1" applyBorder="1" applyAlignment="1">
      <alignment horizontal="center"/>
    </xf>
    <xf numFmtId="0" fontId="16" fillId="34" borderId="86" xfId="0" applyFont="1" applyFill="1" applyBorder="1" applyAlignment="1">
      <alignment horizontal="center"/>
    </xf>
    <xf numFmtId="0" fontId="31" fillId="34" borderId="63" xfId="0" applyFont="1" applyFill="1" applyBorder="1" applyAlignment="1">
      <alignment horizontal="center" vertical="center"/>
    </xf>
    <xf numFmtId="0" fontId="31" fillId="34" borderId="62" xfId="0" applyFont="1" applyFill="1" applyBorder="1" applyAlignment="1">
      <alignment horizontal="center" vertical="center"/>
    </xf>
    <xf numFmtId="0" fontId="31" fillId="34" borderId="46" xfId="0" applyFont="1" applyFill="1" applyBorder="1" applyAlignment="1">
      <alignment horizontal="center" vertical="center"/>
    </xf>
    <xf numFmtId="0" fontId="31" fillId="34" borderId="56" xfId="0" applyFont="1" applyFill="1" applyBorder="1" applyAlignment="1">
      <alignment horizontal="center" vertical="center"/>
    </xf>
    <xf numFmtId="0" fontId="0" fillId="34" borderId="72" xfId="0" applyFill="1" applyBorder="1" applyAlignment="1">
      <alignment horizontal="center"/>
    </xf>
    <xf numFmtId="0" fontId="0" fillId="34" borderId="89" xfId="0" applyFill="1" applyBorder="1" applyAlignment="1">
      <alignment horizontal="center"/>
    </xf>
    <xf numFmtId="0" fontId="16" fillId="34" borderId="71" xfId="0" applyFont="1" applyFill="1" applyBorder="1" applyAlignment="1">
      <alignment horizontal="center" vertical="center"/>
    </xf>
    <xf numFmtId="0" fontId="16" fillId="34" borderId="89" xfId="0" applyFont="1" applyFill="1" applyBorder="1" applyAlignment="1">
      <alignment horizontal="center" vertical="center"/>
    </xf>
    <xf numFmtId="169" fontId="0" fillId="34" borderId="0" xfId="0" applyNumberFormat="1" applyFill="1" applyAlignment="1">
      <alignment horizontal="center" vertical="top" wrapText="1"/>
    </xf>
    <xf numFmtId="169" fontId="0" fillId="34" borderId="94" xfId="0" applyNumberFormat="1" applyFill="1" applyBorder="1" applyAlignment="1">
      <alignment horizontal="center" vertical="top"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49">
    <dxf>
      <border>
        <right style="thin">
          <color theme="0"/>
        </right>
        <top style="thin">
          <color theme="0"/>
        </top>
        <bottom style="thin">
          <color theme="0"/>
        </bottom>
        <vertical/>
        <horizontal/>
      </border>
    </dxf>
    <dxf>
      <font>
        <color rgb="FFC00000"/>
      </font>
    </dxf>
    <dxf>
      <font>
        <color rgb="FFC00000"/>
      </font>
    </dxf>
    <dxf>
      <font>
        <color rgb="FFC00000"/>
      </font>
    </dxf>
    <dxf>
      <font>
        <color theme="1" tint="0.34998626667073579"/>
      </font>
    </dxf>
    <dxf>
      <font>
        <color theme="0" tint="-0.14996795556505021"/>
      </font>
    </dxf>
    <dxf>
      <font>
        <color theme="1" tint="0.34998626667073579"/>
      </font>
      <fill>
        <patternFill>
          <bgColor theme="1" tint="0.499984740745262"/>
        </patternFill>
      </fill>
      <border>
        <left style="thin">
          <color auto="1"/>
        </left>
        <right style="thin">
          <color auto="1"/>
        </right>
        <top style="thin">
          <color auto="1"/>
        </top>
        <bottom style="thin">
          <color auto="1"/>
        </bottom>
        <vertical/>
        <horizontal/>
      </border>
    </dxf>
    <dxf>
      <font>
        <color theme="1" tint="0.34998626667073579"/>
      </font>
      <fill>
        <patternFill>
          <bgColor theme="1" tint="0.499984740745262"/>
        </patternFill>
      </fill>
      <border>
        <left style="thin">
          <color auto="1"/>
        </left>
        <right style="thin">
          <color auto="1"/>
        </right>
        <top style="thin">
          <color auto="1"/>
        </top>
        <bottom style="thin">
          <color auto="1"/>
        </bottom>
      </border>
    </dxf>
    <dxf>
      <font>
        <color rgb="FFC00000"/>
      </font>
    </dxf>
    <dxf>
      <font>
        <color theme="0" tint="-0.14996795556505021"/>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1"/>
      </font>
    </dxf>
    <dxf>
      <border>
        <bottom style="thin">
          <color theme="1" tint="0.24994659260841701"/>
        </bottom>
        <vertical/>
        <horizontal/>
      </border>
    </dxf>
    <dxf>
      <font>
        <color theme="9" tint="-0.24994659260841701"/>
      </font>
    </dxf>
    <dxf>
      <font>
        <color rgb="FFC00000"/>
      </font>
    </dxf>
    <dxf>
      <font>
        <color theme="9" tint="-0.24994659260841701"/>
      </font>
    </dxf>
    <dxf>
      <font>
        <color rgb="FFC00000"/>
      </font>
    </dxf>
    <dxf>
      <font>
        <color rgb="FFC00000"/>
      </font>
    </dxf>
    <dxf>
      <font>
        <color theme="9" tint="-0.24994659260841701"/>
      </font>
    </dxf>
    <dxf>
      <font>
        <color rgb="FFC00000"/>
      </font>
    </dxf>
    <dxf>
      <border>
        <bottom style="thin">
          <color theme="1" tint="0.24994659260841701"/>
        </bottom>
        <vertical/>
        <horizontal/>
      </border>
    </dxf>
    <dxf>
      <font>
        <color rgb="FFC00000"/>
      </font>
    </dxf>
    <dxf>
      <font>
        <color theme="9" tint="-0.24994659260841701"/>
      </font>
    </dxf>
    <dxf>
      <font>
        <color theme="9" tint="-0.24994659260841701"/>
      </font>
    </dxf>
    <dxf>
      <font>
        <color rgb="FFC00000"/>
      </font>
    </dxf>
    <dxf>
      <border>
        <bottom style="thin">
          <color theme="1" tint="0.24994659260841701"/>
        </bottom>
        <vertical/>
        <horizontal/>
      </border>
    </dxf>
    <dxf>
      <font>
        <color rgb="FFC00000"/>
      </font>
    </dxf>
    <dxf>
      <font>
        <color theme="9" tint="-0.24994659260841701"/>
      </font>
    </dxf>
    <dxf>
      <font>
        <color theme="9" tint="-0.24994659260841701"/>
      </font>
    </dxf>
    <dxf>
      <font>
        <color rgb="FFC00000"/>
      </font>
    </dxf>
    <dxf>
      <border>
        <top style="thin">
          <color theme="1" tint="0.24994659260841701"/>
        </top>
        <vertical/>
        <horizontal/>
      </border>
    </dxf>
    <dxf>
      <font>
        <color rgb="FFC00000"/>
      </font>
    </dxf>
    <dxf>
      <font>
        <color rgb="FFC00000"/>
      </font>
    </dxf>
    <dxf>
      <font>
        <color rgb="FFC00000"/>
      </font>
    </dxf>
    <dxf>
      <font>
        <color rgb="FFC00000"/>
      </font>
    </dxf>
    <dxf>
      <font>
        <color rgb="FFC00000"/>
      </font>
    </dxf>
    <dxf>
      <font>
        <color rgb="FFC00000"/>
      </font>
    </dxf>
    <dxf>
      <font>
        <color rgb="FFC00000"/>
      </font>
    </dxf>
    <dxf>
      <font>
        <color theme="9" tint="-0.24994659260841701"/>
      </font>
    </dxf>
    <dxf>
      <font>
        <color rgb="FFC00000"/>
      </font>
    </dxf>
    <dxf>
      <fill>
        <patternFill>
          <bgColor theme="0" tint="-0.14996795556505021"/>
        </patternFill>
      </fill>
    </dxf>
    <dxf>
      <border>
        <left style="thin">
          <color theme="1" tint="0.24994659260841701"/>
        </left>
        <right style="thin">
          <color theme="1" tint="0.24994659260841701"/>
        </right>
        <vertical/>
        <horizontal/>
      </border>
    </dxf>
    <dxf>
      <border>
        <left style="thin">
          <color theme="1" tint="0.24994659260841701"/>
        </left>
        <right style="thin">
          <color theme="1" tint="0.24994659260841701"/>
        </right>
        <vertical/>
        <horizontal/>
      </border>
    </dxf>
    <dxf>
      <border>
        <left style="thin">
          <color theme="1" tint="0.24994659260841701"/>
        </left>
        <right style="thin">
          <color theme="1" tint="0.24994659260841701"/>
        </right>
        <vertical/>
        <horizontal/>
      </border>
    </dxf>
    <dxf>
      <font>
        <color theme="1"/>
      </font>
    </dxf>
  </dxfs>
  <tableStyles count="0" defaultTableStyle="TableStyleMedium9"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Equations!$B$105:$B$109</c:f>
              <c:numCache>
                <c:formatCode>0%</c:formatCode>
                <c:ptCount val="5"/>
                <c:pt idx="0">
                  <c:v>0.95</c:v>
                </c:pt>
                <c:pt idx="1">
                  <c:v>0.9</c:v>
                </c:pt>
                <c:pt idx="2">
                  <c:v>0.85</c:v>
                </c:pt>
                <c:pt idx="3">
                  <c:v>0.8</c:v>
                </c:pt>
                <c:pt idx="4">
                  <c:v>0.7</c:v>
                </c:pt>
              </c:numCache>
            </c:numRef>
          </c:xVal>
          <c:yVal>
            <c:numRef>
              <c:f>Equations!$D$105:$D$109</c:f>
              <c:numCache>
                <c:formatCode>General</c:formatCode>
                <c:ptCount val="5"/>
                <c:pt idx="0">
                  <c:v>1.27</c:v>
                </c:pt>
                <c:pt idx="1">
                  <c:v>1</c:v>
                </c:pt>
                <c:pt idx="2">
                  <c:v>0.80827499999999919</c:v>
                </c:pt>
                <c:pt idx="3">
                  <c:v>0.66</c:v>
                </c:pt>
                <c:pt idx="4">
                  <c:v>0.47</c:v>
                </c:pt>
              </c:numCache>
            </c:numRef>
          </c:yVal>
          <c:smooth val="0"/>
          <c:extLst>
            <c:ext xmlns:c16="http://schemas.microsoft.com/office/drawing/2014/chart" uri="{C3380CC4-5D6E-409C-BE32-E72D297353CC}">
              <c16:uniqueId val="{00000000-4C6D-47F4-B246-7E122A174209}"/>
            </c:ext>
          </c:extLst>
        </c:ser>
        <c:ser>
          <c:idx val="1"/>
          <c:order val="1"/>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1"/>
            <c:dispEq val="1"/>
            <c:trendlineLbl>
              <c:layout>
                <c:manualLayout>
                  <c:x val="0.10101382447903368"/>
                  <c:y val="0.3816632573959111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Equations!$B$105:$B$109</c:f>
              <c:numCache>
                <c:formatCode>0%</c:formatCode>
                <c:ptCount val="5"/>
                <c:pt idx="0">
                  <c:v>0.95</c:v>
                </c:pt>
                <c:pt idx="1">
                  <c:v>0.9</c:v>
                </c:pt>
                <c:pt idx="2">
                  <c:v>0.85</c:v>
                </c:pt>
                <c:pt idx="3">
                  <c:v>0.8</c:v>
                </c:pt>
                <c:pt idx="4">
                  <c:v>0.7</c:v>
                </c:pt>
              </c:numCache>
            </c:numRef>
          </c:xVal>
          <c:yVal>
            <c:numRef>
              <c:f>Equations!$C$105:$C$109</c:f>
              <c:numCache>
                <c:formatCode>General</c:formatCode>
                <c:ptCount val="5"/>
                <c:pt idx="0">
                  <c:v>0.95499999999999996</c:v>
                </c:pt>
                <c:pt idx="1">
                  <c:v>0.75</c:v>
                </c:pt>
                <c:pt idx="2">
                  <c:v>0.60761749999999903</c:v>
                </c:pt>
                <c:pt idx="3">
                  <c:v>0.5</c:v>
                </c:pt>
                <c:pt idx="4">
                  <c:v>0.35</c:v>
                </c:pt>
              </c:numCache>
            </c:numRef>
          </c:yVal>
          <c:smooth val="0"/>
          <c:extLst>
            <c:ext xmlns:c16="http://schemas.microsoft.com/office/drawing/2014/chart" uri="{C3380CC4-5D6E-409C-BE32-E72D297353CC}">
              <c16:uniqueId val="{00000002-4C6D-47F4-B246-7E122A174209}"/>
            </c:ext>
          </c:extLst>
        </c:ser>
        <c:dLbls>
          <c:showLegendKey val="0"/>
          <c:showVal val="0"/>
          <c:showCatName val="0"/>
          <c:showSerName val="0"/>
          <c:showPercent val="0"/>
          <c:showBubbleSize val="0"/>
        </c:dLbls>
        <c:axId val="832666440"/>
        <c:axId val="832668080"/>
      </c:scatterChart>
      <c:valAx>
        <c:axId val="83266644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668080"/>
        <c:crosses val="autoZero"/>
        <c:crossBetween val="midCat"/>
      </c:valAx>
      <c:valAx>
        <c:axId val="832668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6664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Equations!$K$86:$M$86</c:f>
              <c:numCache>
                <c:formatCode>General</c:formatCode>
                <c:ptCount val="3"/>
                <c:pt idx="0">
                  <c:v>0.9</c:v>
                </c:pt>
                <c:pt idx="1">
                  <c:v>0.8</c:v>
                </c:pt>
                <c:pt idx="2">
                  <c:v>0.7</c:v>
                </c:pt>
              </c:numCache>
            </c:numRef>
          </c:xVal>
          <c:yVal>
            <c:numRef>
              <c:f>Equations!$K$87:$M$87</c:f>
              <c:numCache>
                <c:formatCode>General</c:formatCode>
                <c:ptCount val="3"/>
                <c:pt idx="0">
                  <c:v>1</c:v>
                </c:pt>
                <c:pt idx="1">
                  <c:v>0.7</c:v>
                </c:pt>
                <c:pt idx="2">
                  <c:v>0.5</c:v>
                </c:pt>
              </c:numCache>
            </c:numRef>
          </c:yVal>
          <c:smooth val="0"/>
          <c:extLst>
            <c:ext xmlns:c16="http://schemas.microsoft.com/office/drawing/2014/chart" uri="{C3380CC4-5D6E-409C-BE32-E72D297353CC}">
              <c16:uniqueId val="{00000000-AE6D-4C9C-8198-133B3FBDD73A}"/>
            </c:ext>
          </c:extLst>
        </c:ser>
        <c:dLbls>
          <c:showLegendKey val="0"/>
          <c:showVal val="0"/>
          <c:showCatName val="0"/>
          <c:showSerName val="0"/>
          <c:showPercent val="0"/>
          <c:showBubbleSize val="0"/>
        </c:dLbls>
        <c:axId val="444464656"/>
        <c:axId val="963192352"/>
      </c:scatterChart>
      <c:valAx>
        <c:axId val="444464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3192352"/>
        <c:crosses val="autoZero"/>
        <c:crossBetween val="midCat"/>
      </c:valAx>
      <c:valAx>
        <c:axId val="963192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4646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Equations!$AA$466:$AA$469</c:f>
              <c:numCache>
                <c:formatCode>General</c:formatCode>
                <c:ptCount val="4"/>
                <c:pt idx="0">
                  <c:v>1</c:v>
                </c:pt>
                <c:pt idx="1">
                  <c:v>2</c:v>
                </c:pt>
                <c:pt idx="2">
                  <c:v>4</c:v>
                </c:pt>
              </c:numCache>
            </c:numRef>
          </c:xVal>
          <c:yVal>
            <c:numRef>
              <c:f>Equations!$AB$466:$AB$469</c:f>
              <c:numCache>
                <c:formatCode>General</c:formatCode>
                <c:ptCount val="4"/>
                <c:pt idx="0">
                  <c:v>0</c:v>
                </c:pt>
                <c:pt idx="1">
                  <c:v>5</c:v>
                </c:pt>
                <c:pt idx="2">
                  <c:v>10</c:v>
                </c:pt>
              </c:numCache>
            </c:numRef>
          </c:yVal>
          <c:smooth val="0"/>
          <c:extLst>
            <c:ext xmlns:c16="http://schemas.microsoft.com/office/drawing/2014/chart" uri="{C3380CC4-5D6E-409C-BE32-E72D297353CC}">
              <c16:uniqueId val="{00000000-A771-43AE-AB72-48A774B0576D}"/>
            </c:ext>
          </c:extLst>
        </c:ser>
        <c:dLbls>
          <c:showLegendKey val="0"/>
          <c:showVal val="0"/>
          <c:showCatName val="0"/>
          <c:showSerName val="0"/>
          <c:showPercent val="0"/>
          <c:showBubbleSize val="0"/>
        </c:dLbls>
        <c:axId val="463441535"/>
        <c:axId val="463433855"/>
      </c:scatterChart>
      <c:valAx>
        <c:axId val="4634415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3433855"/>
        <c:crosses val="autoZero"/>
        <c:crossBetween val="midCat"/>
      </c:valAx>
      <c:valAx>
        <c:axId val="4634338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34415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NEWCMAX!$K$21</c:f>
              <c:strCache>
                <c:ptCount val="1"/>
                <c:pt idx="0">
                  <c:v>f_TD (Sliding Scale)</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NEWCMAX!$K$24:$K$25</c:f>
              <c:numCache>
                <c:formatCode>0%</c:formatCode>
                <c:ptCount val="2"/>
                <c:pt idx="0">
                  <c:v>1</c:v>
                </c:pt>
                <c:pt idx="1">
                  <c:v>0.3</c:v>
                </c:pt>
              </c:numCache>
            </c:numRef>
          </c:xVal>
          <c:yVal>
            <c:numRef>
              <c:f>NEWCMAX!$L$24:$L$25</c:f>
              <c:numCache>
                <c:formatCode>General</c:formatCode>
                <c:ptCount val="2"/>
                <c:pt idx="0">
                  <c:v>1</c:v>
                </c:pt>
                <c:pt idx="1">
                  <c:v>0.53500000000000003</c:v>
                </c:pt>
              </c:numCache>
            </c:numRef>
          </c:yVal>
          <c:smooth val="0"/>
          <c:extLst>
            <c:ext xmlns:c16="http://schemas.microsoft.com/office/drawing/2014/chart" uri="{C3380CC4-5D6E-409C-BE32-E72D297353CC}">
              <c16:uniqueId val="{00000001-52CA-447A-81E3-6D21261E45B5}"/>
            </c:ext>
          </c:extLst>
        </c:ser>
        <c:dLbls>
          <c:showLegendKey val="0"/>
          <c:showVal val="0"/>
          <c:showCatName val="0"/>
          <c:showSerName val="0"/>
          <c:showPercent val="0"/>
          <c:showBubbleSize val="0"/>
        </c:dLbls>
        <c:axId val="612839048"/>
        <c:axId val="612841016"/>
      </c:scatterChart>
      <c:valAx>
        <c:axId val="6128390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41016"/>
        <c:crosses val="autoZero"/>
        <c:crossBetween val="midCat"/>
      </c:valAx>
      <c:valAx>
        <c:axId val="612841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3904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NEWCMAX!$N$24:$N$25</c:f>
              <c:numCache>
                <c:formatCode>General</c:formatCode>
                <c:ptCount val="2"/>
                <c:pt idx="0">
                  <c:v>30</c:v>
                </c:pt>
                <c:pt idx="1">
                  <c:v>5</c:v>
                </c:pt>
              </c:numCache>
            </c:numRef>
          </c:xVal>
          <c:yVal>
            <c:numRef>
              <c:f>NEWCMAX!$O$24:$O$25</c:f>
              <c:numCache>
                <c:formatCode>General</c:formatCode>
                <c:ptCount val="2"/>
                <c:pt idx="0">
                  <c:v>0.75</c:v>
                </c:pt>
                <c:pt idx="1">
                  <c:v>1</c:v>
                </c:pt>
              </c:numCache>
            </c:numRef>
          </c:yVal>
          <c:smooth val="0"/>
          <c:extLst>
            <c:ext xmlns:c16="http://schemas.microsoft.com/office/drawing/2014/chart" uri="{C3380CC4-5D6E-409C-BE32-E72D297353CC}">
              <c16:uniqueId val="{00000000-4E93-4B21-ABD0-7D4447150160}"/>
            </c:ext>
          </c:extLst>
        </c:ser>
        <c:dLbls>
          <c:showLegendKey val="0"/>
          <c:showVal val="0"/>
          <c:showCatName val="0"/>
          <c:showSerName val="0"/>
          <c:showPercent val="0"/>
          <c:showBubbleSize val="0"/>
        </c:dLbls>
        <c:axId val="2033393024"/>
        <c:axId val="298793232"/>
      </c:scatterChart>
      <c:valAx>
        <c:axId val="20333930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8793232"/>
        <c:crosses val="autoZero"/>
        <c:crossBetween val="midCat"/>
      </c:valAx>
      <c:valAx>
        <c:axId val="2987932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3930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Equations!$C$26"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checked="Checked" firstButton="1" fmlaLink="Data!$A$56"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checked="Checked" firstButton="1" fmlaLink="Equations!$C$3"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checked="Checked" firstButton="1" fmlaLink="Data!A122"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checked="Checked" firstButton="1" fmlaLink="Data!A$150"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checked="Checked" fmlaLink="Data!$B$67" lockText="1" noThreeD="1"/>
</file>

<file path=xl/ctrlProps/ctrlProp3.xml><?xml version="1.0" encoding="utf-8"?>
<formControlPr xmlns="http://schemas.microsoft.com/office/spreadsheetml/2009/9/main" objectType="Radio" checked="Checked" firstButton="1" fmlaLink="Data!$C$91" lockText="1" noThreeD="1"/>
</file>

<file path=xl/ctrlProps/ctrlProp30.xml><?xml version="1.0" encoding="utf-8"?>
<formControlPr xmlns="http://schemas.microsoft.com/office/spreadsheetml/2009/9/main" objectType="CheckBox" fmlaLink="Data!$B$68" lockText="1" noThreeD="1"/>
</file>

<file path=xl/ctrlProps/ctrlProp31.xml><?xml version="1.0" encoding="utf-8"?>
<formControlPr xmlns="http://schemas.microsoft.com/office/spreadsheetml/2009/9/main" objectType="CheckBox" fmlaLink="Data!$C$86" lockText="1" noThreeD="1"/>
</file>

<file path=xl/ctrlProps/ctrlProp32.xml><?xml version="1.0" encoding="utf-8"?>
<formControlPr xmlns="http://schemas.microsoft.com/office/spreadsheetml/2009/9/main" objectType="Radio" checked="Checked" firstButton="1" fmlaLink="Data!$B$74"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checked="Checked" firstButton="1" fmlaLink="Data!$A$83"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fmlaLink="Data!$C$87"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checked="Checked" firstButton="1" fmlaLink="Data!$B$16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checked="Checked" firstButton="1" fmlaLink="Data!$B$99"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CheckBox" fmlaLink="Equations!C17"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checked="Checked" firstButton="1" fmlaLink="Data!$B$169"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checked="Checked" firstButton="1" fmlaLink="$C$48" lockText="1" noThreeD="1"/>
</file>

<file path=xl/ctrlProps/ctrlProp5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fmlaLink="Equations!$C$28"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image" Target="../media/image29.svg"/><Relationship Id="rId3" Type="http://schemas.openxmlformats.org/officeDocument/2006/relationships/image" Target="../media/image24.png"/><Relationship Id="rId7" Type="http://schemas.openxmlformats.org/officeDocument/2006/relationships/image" Target="../media/image28.png"/><Relationship Id="rId2" Type="http://schemas.openxmlformats.org/officeDocument/2006/relationships/image" Target="../media/image23.svg"/><Relationship Id="rId1" Type="http://schemas.openxmlformats.org/officeDocument/2006/relationships/image" Target="../media/image22.png"/><Relationship Id="rId6" Type="http://schemas.openxmlformats.org/officeDocument/2006/relationships/image" Target="../media/image27.svg"/><Relationship Id="rId5" Type="http://schemas.openxmlformats.org/officeDocument/2006/relationships/image" Target="../media/image26.png"/><Relationship Id="rId10" Type="http://schemas.openxmlformats.org/officeDocument/2006/relationships/image" Target="../media/image31.svg"/><Relationship Id="rId4" Type="http://schemas.openxmlformats.org/officeDocument/2006/relationships/image" Target="../media/image25.svg"/><Relationship Id="rId9" Type="http://schemas.openxmlformats.org/officeDocument/2006/relationships/image" Target="../media/image30.png"/></Relationships>
</file>

<file path=xl/drawings/_rels/drawing6.xml.rels><?xml version="1.0" encoding="UTF-8" standalone="yes"?>
<Relationships xmlns="http://schemas.openxmlformats.org/package/2006/relationships"><Relationship Id="rId3" Type="http://schemas.openxmlformats.org/officeDocument/2006/relationships/image" Target="../media/image39.emf"/><Relationship Id="rId2" Type="http://schemas.openxmlformats.org/officeDocument/2006/relationships/image" Target="../media/image2.png"/><Relationship Id="rId1" Type="http://schemas.openxmlformats.org/officeDocument/2006/relationships/image" Target="../media/image38.emf"/><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19.emf"/><Relationship Id="rId3" Type="http://schemas.openxmlformats.org/officeDocument/2006/relationships/image" Target="../media/image9.emf"/><Relationship Id="rId7" Type="http://schemas.openxmlformats.org/officeDocument/2006/relationships/image" Target="../media/image13.emf"/><Relationship Id="rId12" Type="http://schemas.openxmlformats.org/officeDocument/2006/relationships/image" Target="../media/image18.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11" Type="http://schemas.openxmlformats.org/officeDocument/2006/relationships/image" Target="../media/image17.emf"/><Relationship Id="rId5" Type="http://schemas.openxmlformats.org/officeDocument/2006/relationships/image" Target="../media/image11.emf"/><Relationship Id="rId15" Type="http://schemas.openxmlformats.org/officeDocument/2006/relationships/image" Target="../media/image21.emf"/><Relationship Id="rId10" Type="http://schemas.openxmlformats.org/officeDocument/2006/relationships/image" Target="../media/image16.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34.emf"/><Relationship Id="rId2" Type="http://schemas.openxmlformats.org/officeDocument/2006/relationships/image" Target="../media/image33.emf"/><Relationship Id="rId1" Type="http://schemas.openxmlformats.org/officeDocument/2006/relationships/image" Target="../media/image32.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37.emf"/><Relationship Id="rId2" Type="http://schemas.openxmlformats.org/officeDocument/2006/relationships/image" Target="../media/image36.emf"/><Relationship Id="rId1" Type="http://schemas.openxmlformats.org/officeDocument/2006/relationships/image" Target="../media/image3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41.emf"/><Relationship Id="rId1" Type="http://schemas.openxmlformats.org/officeDocument/2006/relationships/image" Target="../media/image40.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44.emf"/><Relationship Id="rId2" Type="http://schemas.openxmlformats.org/officeDocument/2006/relationships/image" Target="../media/image43.emf"/><Relationship Id="rId1" Type="http://schemas.openxmlformats.org/officeDocument/2006/relationships/image" Target="../media/image42.emf"/></Relationships>
</file>

<file path=xl/drawings/_rels/vmlDrawing8.vml.rels><?xml version="1.0" encoding="UTF-8" standalone="yes"?>
<Relationships xmlns="http://schemas.openxmlformats.org/package/2006/relationships"><Relationship Id="rId8" Type="http://schemas.openxmlformats.org/officeDocument/2006/relationships/image" Target="../media/image51.emf"/><Relationship Id="rId3" Type="http://schemas.openxmlformats.org/officeDocument/2006/relationships/image" Target="../media/image47.emf"/><Relationship Id="rId7" Type="http://schemas.openxmlformats.org/officeDocument/2006/relationships/image" Target="../media/image50.emf"/><Relationship Id="rId2" Type="http://schemas.openxmlformats.org/officeDocument/2006/relationships/image" Target="../media/image46.emf"/><Relationship Id="rId1" Type="http://schemas.openxmlformats.org/officeDocument/2006/relationships/image" Target="../media/image45.emf"/><Relationship Id="rId6" Type="http://schemas.openxmlformats.org/officeDocument/2006/relationships/image" Target="../media/image49.emf"/><Relationship Id="rId5" Type="http://schemas.openxmlformats.org/officeDocument/2006/relationships/image" Target="../media/image9.emf"/><Relationship Id="rId4" Type="http://schemas.openxmlformats.org/officeDocument/2006/relationships/image" Target="../media/image4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68419</xdr:colOff>
          <xdr:row>7</xdr:row>
          <xdr:rowOff>43403</xdr:rowOff>
        </xdr:from>
        <xdr:to>
          <xdr:col>14</xdr:col>
          <xdr:colOff>741833</xdr:colOff>
          <xdr:row>10</xdr:row>
          <xdr:rowOff>18418</xdr:rowOff>
        </xdr:to>
        <xdr:pic>
          <xdr:nvPicPr>
            <xdr:cNvPr id="9" name="Picture 8">
              <a:extLst>
                <a:ext uri="{FF2B5EF4-FFF2-40B4-BE49-F238E27FC236}">
                  <a16:creationId xmlns:a16="http://schemas.microsoft.com/office/drawing/2014/main" id="{00000000-0008-0000-0000-000009000000}"/>
                </a:ext>
              </a:extLst>
            </xdr:cNvPr>
            <xdr:cNvPicPr>
              <a:picLocks noChangeAspect="1"/>
              <a:extLst>
                <a:ext uri="{84589F7E-364E-4C9E-8A38-B11213B215E9}">
                  <a14:cameraTool cellRange="dischargediagram" spid="_x0000_s68366"/>
                </a:ext>
              </a:extLst>
            </xdr:cNvPicPr>
          </xdr:nvPicPr>
          <xdr:blipFill>
            <a:blip xmlns:r="http://schemas.openxmlformats.org/officeDocument/2006/relationships" r:embed="rId1"/>
            <a:stretch>
              <a:fillRect/>
            </a:stretch>
          </xdr:blipFill>
          <xdr:spPr>
            <a:xfrm>
              <a:off x="11260294" y="1605503"/>
              <a:ext cx="681034" cy="584615"/>
            </a:xfrm>
            <a:prstGeom prst="rect">
              <a:avLst/>
            </a:prstGeom>
          </xdr:spPr>
        </xdr:pic>
        <xdr:clientData/>
      </xdr:twoCellAnchor>
    </mc:Choice>
    <mc:Fallback/>
  </mc:AlternateContent>
  <xdr:twoCellAnchor editAs="oneCell">
    <xdr:from>
      <xdr:col>22</xdr:col>
      <xdr:colOff>276224</xdr:colOff>
      <xdr:row>1</xdr:row>
      <xdr:rowOff>84044</xdr:rowOff>
    </xdr:from>
    <xdr:to>
      <xdr:col>23</xdr:col>
      <xdr:colOff>1577951</xdr:colOff>
      <xdr:row>2</xdr:row>
      <xdr:rowOff>247035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307049" y="255494"/>
          <a:ext cx="2115163" cy="429691"/>
        </a:xfrm>
        <a:prstGeom prst="rect">
          <a:avLst/>
        </a:prstGeom>
      </xdr:spPr>
    </xdr:pic>
    <xdr:clientData/>
  </xdr:twoCellAnchor>
  <mc:AlternateContent xmlns:mc="http://schemas.openxmlformats.org/markup-compatibility/2006">
    <mc:Choice xmlns:a14="http://schemas.microsoft.com/office/drawing/2010/main" Requires="a14">
      <xdr:twoCellAnchor>
        <xdr:from>
          <xdr:col>4</xdr:col>
          <xdr:colOff>940987</xdr:colOff>
          <xdr:row>79</xdr:row>
          <xdr:rowOff>30480</xdr:rowOff>
        </xdr:from>
        <xdr:to>
          <xdr:col>11</xdr:col>
          <xdr:colOff>293287</xdr:colOff>
          <xdr:row>79</xdr:row>
          <xdr:rowOff>289560</xdr:rowOff>
        </xdr:to>
        <xdr:grpSp>
          <xdr:nvGrpSpPr>
            <xdr:cNvPr id="15" name="colour Group 14">
              <a:extLst>
                <a:ext uri="{FF2B5EF4-FFF2-40B4-BE49-F238E27FC236}">
                  <a16:creationId xmlns:a16="http://schemas.microsoft.com/office/drawing/2014/main" id="{00000000-0008-0000-0000-00000F000000}"/>
                </a:ext>
              </a:extLst>
            </xdr:cNvPr>
            <xdr:cNvGrpSpPr/>
          </xdr:nvGrpSpPr>
          <xdr:grpSpPr>
            <a:xfrm>
              <a:off x="3808012" y="19280505"/>
              <a:ext cx="5895975" cy="259080"/>
              <a:chOff x="4995811" y="18457587"/>
              <a:chExt cx="6348186" cy="259080"/>
            </a:xfrm>
          </xdr:grpSpPr>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5643516" y="18488055"/>
                <a:ext cx="1166101" cy="2057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7704996" y="18488055"/>
                <a:ext cx="1211822" cy="2057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9590128" y="18482340"/>
                <a:ext cx="983097"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Group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4995811" y="18457587"/>
                <a:ext cx="6348186" cy="25908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26</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480406</xdr:colOff>
          <xdr:row>8</xdr:row>
          <xdr:rowOff>142926</xdr:rowOff>
        </xdr:from>
        <xdr:to>
          <xdr:col>8</xdr:col>
          <xdr:colOff>300451</xdr:colOff>
          <xdr:row>10</xdr:row>
          <xdr:rowOff>99410</xdr:rowOff>
        </xdr:to>
        <xdr:grpSp>
          <xdr:nvGrpSpPr>
            <xdr:cNvPr id="10" name="units">
              <a:extLst>
                <a:ext uri="{FF2B5EF4-FFF2-40B4-BE49-F238E27FC236}">
                  <a16:creationId xmlns:a16="http://schemas.microsoft.com/office/drawing/2014/main" id="{00000000-0008-0000-0000-00000A000000}"/>
                </a:ext>
              </a:extLst>
            </xdr:cNvPr>
            <xdr:cNvGrpSpPr/>
          </xdr:nvGrpSpPr>
          <xdr:grpSpPr>
            <a:xfrm>
              <a:off x="4442806" y="1866951"/>
              <a:ext cx="2525145" cy="394634"/>
              <a:chOff x="4543876" y="1657359"/>
              <a:chExt cx="2638601" cy="331067"/>
            </a:xfrm>
          </xdr:grpSpPr>
          <xdr:sp macro="" textlink="">
            <xdr:nvSpPr>
              <xdr:cNvPr id="1067" name="Group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543876" y="1657359"/>
                <a:ext cx="2638601" cy="331067"/>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43</a:t>
                </a:r>
              </a:p>
            </xdr:txBody>
          </xdr:sp>
          <xdr:sp macro="" textlink="">
            <xdr:nvSpPr>
              <xdr:cNvPr id="1068" name="Option Button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022912" y="1730020"/>
                <a:ext cx="616321" cy="2003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Option Butto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5737031" y="1717110"/>
                <a:ext cx="501221" cy="2293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21</xdr:row>
          <xdr:rowOff>76200</xdr:rowOff>
        </xdr:from>
        <xdr:to>
          <xdr:col>15</xdr:col>
          <xdr:colOff>542925</xdr:colOff>
          <xdr:row>23</xdr:row>
          <xdr:rowOff>114300</xdr:rowOff>
        </xdr:to>
        <xdr:grpSp>
          <xdr:nvGrpSpPr>
            <xdr:cNvPr id="2" name="ceiling location">
              <a:extLst>
                <a:ext uri="{FF2B5EF4-FFF2-40B4-BE49-F238E27FC236}">
                  <a16:creationId xmlns:a16="http://schemas.microsoft.com/office/drawing/2014/main" id="{00000000-0008-0000-0000-000002000000}"/>
                </a:ext>
              </a:extLst>
            </xdr:cNvPr>
            <xdr:cNvGrpSpPr/>
          </xdr:nvGrpSpPr>
          <xdr:grpSpPr>
            <a:xfrm>
              <a:off x="10325100" y="4438650"/>
              <a:ext cx="3286125" cy="438150"/>
              <a:chOff x="9363066" y="4428549"/>
              <a:chExt cx="3286123" cy="438145"/>
            </a:xfrm>
          </xdr:grpSpPr>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9658350" y="4514850"/>
                <a:ext cx="457200"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10991850" y="4543426"/>
                <a:ext cx="371475"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076" name="Group Box 1236" hidden="1">
                <a:extLst>
                  <a:ext uri="{63B3BB69-23CF-44E3-9099-C40C66FF867C}">
                    <a14:compatExt spid="_x0000_s37076"/>
                  </a:ext>
                  <a:ext uri="{FF2B5EF4-FFF2-40B4-BE49-F238E27FC236}">
                    <a16:creationId xmlns:a16="http://schemas.microsoft.com/office/drawing/2014/main" id="{00000000-0008-0000-0000-0000D4900000}"/>
                  </a:ext>
                </a:extLst>
              </xdr:cNvPr>
              <xdr:cNvSpPr/>
            </xdr:nvSpPr>
            <xdr:spPr bwMode="auto">
              <a:xfrm>
                <a:off x="9363066" y="4428549"/>
                <a:ext cx="3286123" cy="43814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1236</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667542</xdr:colOff>
          <xdr:row>13</xdr:row>
          <xdr:rowOff>38100</xdr:rowOff>
        </xdr:from>
        <xdr:to>
          <xdr:col>13</xdr:col>
          <xdr:colOff>165120</xdr:colOff>
          <xdr:row>19</xdr:row>
          <xdr:rowOff>83820</xdr:rowOff>
        </xdr:to>
        <xdr:grpSp>
          <xdr:nvGrpSpPr>
            <xdr:cNvPr id="3" name="distance selection">
              <a:extLst>
                <a:ext uri="{FF2B5EF4-FFF2-40B4-BE49-F238E27FC236}">
                  <a16:creationId xmlns:a16="http://schemas.microsoft.com/office/drawing/2014/main" id="{00000000-0008-0000-0000-000003000000}"/>
                </a:ext>
              </a:extLst>
            </xdr:cNvPr>
            <xdr:cNvGrpSpPr/>
          </xdr:nvGrpSpPr>
          <xdr:grpSpPr>
            <a:xfrm>
              <a:off x="8249442" y="2809875"/>
              <a:ext cx="3155178" cy="1236345"/>
              <a:chOff x="7150286" y="2801547"/>
              <a:chExt cx="3155184" cy="1231688"/>
            </a:xfrm>
          </xdr:grpSpPr>
          <xdr:sp macro="" textlink="">
            <xdr:nvSpPr>
              <xdr:cNvPr id="1057" name="Group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7150286" y="2801547"/>
                <a:ext cx="3155184" cy="1231688"/>
              </a:xfrm>
              <a:prstGeom prst="rect">
                <a:avLst/>
              </a:prstGeom>
              <a:noFill/>
              <a:ln w="9525">
                <a:miter lim="800000"/>
                <a:headEnd/>
                <a:tailEnd/>
              </a:ln>
              <a:extLst>
                <a:ext uri="{909E8E84-426E-40DD-AFC4-6F175D3DCCD1}">
                  <a14:hiddenFill>
                    <a:noFill/>
                  </a14:hiddenFill>
                </a:ext>
              </a:extLst>
            </xdr:spPr>
          </xdr:sp>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7418630" y="2904054"/>
                <a:ext cx="421087" cy="3226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7425883" y="3289123"/>
                <a:ext cx="499288" cy="3249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077" name="Option Button 1237" hidden="1">
                <a:extLst>
                  <a:ext uri="{63B3BB69-23CF-44E3-9099-C40C66FF867C}">
                    <a14:compatExt spid="_x0000_s37077"/>
                  </a:ext>
                  <a:ext uri="{FF2B5EF4-FFF2-40B4-BE49-F238E27FC236}">
                    <a16:creationId xmlns:a16="http://schemas.microsoft.com/office/drawing/2014/main" id="{00000000-0008-0000-0000-0000D5900000}"/>
                  </a:ext>
                </a:extLst>
              </xdr:cNvPr>
              <xdr:cNvSpPr/>
            </xdr:nvSpPr>
            <xdr:spPr bwMode="auto">
              <a:xfrm>
                <a:off x="7429500" y="3733801"/>
                <a:ext cx="4667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82</xdr:row>
          <xdr:rowOff>21197</xdr:rowOff>
        </xdr:from>
        <xdr:to>
          <xdr:col>16</xdr:col>
          <xdr:colOff>294944</xdr:colOff>
          <xdr:row>82</xdr:row>
          <xdr:rowOff>293883</xdr:rowOff>
        </xdr:to>
        <xdr:grpSp>
          <xdr:nvGrpSpPr>
            <xdr:cNvPr id="7" name="Spigot selection">
              <a:extLst>
                <a:ext uri="{FF2B5EF4-FFF2-40B4-BE49-F238E27FC236}">
                  <a16:creationId xmlns:a16="http://schemas.microsoft.com/office/drawing/2014/main" id="{00000000-0008-0000-0000-000007000000}"/>
                </a:ext>
              </a:extLst>
            </xdr:cNvPr>
            <xdr:cNvGrpSpPr/>
          </xdr:nvGrpSpPr>
          <xdr:grpSpPr>
            <a:xfrm>
              <a:off x="3962400" y="20214197"/>
              <a:ext cx="10315244" cy="272686"/>
              <a:chOff x="5001168" y="18427021"/>
              <a:chExt cx="11006000" cy="270555"/>
            </a:xfrm>
          </xdr:grpSpPr>
          <xdr:sp macro="" textlink="">
            <xdr:nvSpPr>
              <xdr:cNvPr id="37165" name="spigot Box 1325" hidden="1">
                <a:extLst>
                  <a:ext uri="{63B3BB69-23CF-44E3-9099-C40C66FF867C}">
                    <a14:compatExt spid="_x0000_s37165"/>
                  </a:ext>
                  <a:ext uri="{FF2B5EF4-FFF2-40B4-BE49-F238E27FC236}">
                    <a16:creationId xmlns:a16="http://schemas.microsoft.com/office/drawing/2014/main" id="{00000000-0008-0000-0000-00002D910000}"/>
                  </a:ext>
                </a:extLst>
              </xdr:cNvPr>
              <xdr:cNvSpPr/>
            </xdr:nvSpPr>
            <xdr:spPr bwMode="auto">
              <a:xfrm>
                <a:off x="5001168" y="18427021"/>
                <a:ext cx="11006000" cy="27055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1325</a:t>
                </a:r>
              </a:p>
            </xdr:txBody>
          </xdr:sp>
          <xdr:sp macro="" textlink="">
            <xdr:nvSpPr>
              <xdr:cNvPr id="37166" name="Option Button 1326" hidden="1">
                <a:extLst>
                  <a:ext uri="{63B3BB69-23CF-44E3-9099-C40C66FF867C}">
                    <a14:compatExt spid="_x0000_s37166"/>
                  </a:ext>
                  <a:ext uri="{FF2B5EF4-FFF2-40B4-BE49-F238E27FC236}">
                    <a16:creationId xmlns:a16="http://schemas.microsoft.com/office/drawing/2014/main" id="{00000000-0008-0000-0000-00002E910000}"/>
                  </a:ext>
                </a:extLst>
              </xdr:cNvPr>
              <xdr:cNvSpPr/>
            </xdr:nvSpPr>
            <xdr:spPr bwMode="auto">
              <a:xfrm>
                <a:off x="5275177" y="18458694"/>
                <a:ext cx="411478"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67" name="Option Button 1327" hidden="1">
                <a:extLst>
                  <a:ext uri="{63B3BB69-23CF-44E3-9099-C40C66FF867C}">
                    <a14:compatExt spid="_x0000_s37167"/>
                  </a:ext>
                  <a:ext uri="{FF2B5EF4-FFF2-40B4-BE49-F238E27FC236}">
                    <a16:creationId xmlns:a16="http://schemas.microsoft.com/office/drawing/2014/main" id="{00000000-0008-0000-0000-00002F910000}"/>
                  </a:ext>
                </a:extLst>
              </xdr:cNvPr>
              <xdr:cNvSpPr/>
            </xdr:nvSpPr>
            <xdr:spPr bwMode="auto">
              <a:xfrm>
                <a:off x="7563063" y="18453614"/>
                <a:ext cx="39364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68" name="Option Button 1328" hidden="1">
                <a:extLst>
                  <a:ext uri="{63B3BB69-23CF-44E3-9099-C40C66FF867C}">
                    <a14:compatExt spid="_x0000_s37168"/>
                  </a:ext>
                  <a:ext uri="{FF2B5EF4-FFF2-40B4-BE49-F238E27FC236}">
                    <a16:creationId xmlns:a16="http://schemas.microsoft.com/office/drawing/2014/main" id="{00000000-0008-0000-0000-000030910000}"/>
                  </a:ext>
                </a:extLst>
              </xdr:cNvPr>
              <xdr:cNvSpPr/>
            </xdr:nvSpPr>
            <xdr:spPr bwMode="auto">
              <a:xfrm>
                <a:off x="9560629" y="18453614"/>
                <a:ext cx="29458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70" name="Option Button 1330" hidden="1">
                <a:extLst>
                  <a:ext uri="{63B3BB69-23CF-44E3-9099-C40C66FF867C}">
                    <a14:compatExt spid="_x0000_s37170"/>
                  </a:ext>
                  <a:ext uri="{FF2B5EF4-FFF2-40B4-BE49-F238E27FC236}">
                    <a16:creationId xmlns:a16="http://schemas.microsoft.com/office/drawing/2014/main" id="{00000000-0008-0000-0000-000032910000}"/>
                  </a:ext>
                </a:extLst>
              </xdr:cNvPr>
              <xdr:cNvSpPr/>
            </xdr:nvSpPr>
            <xdr:spPr bwMode="auto">
              <a:xfrm>
                <a:off x="11474844" y="18449381"/>
                <a:ext cx="37078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119059</xdr:colOff>
          <xdr:row>74</xdr:row>
          <xdr:rowOff>293370</xdr:rowOff>
        </xdr:from>
        <xdr:to>
          <xdr:col>10</xdr:col>
          <xdr:colOff>789498</xdr:colOff>
          <xdr:row>76</xdr:row>
          <xdr:rowOff>274647</xdr:rowOff>
        </xdr:to>
        <xdr:grpSp>
          <xdr:nvGrpSpPr>
            <xdr:cNvPr id="11" name="onboard sensors">
              <a:extLst>
                <a:ext uri="{FF2B5EF4-FFF2-40B4-BE49-F238E27FC236}">
                  <a16:creationId xmlns:a16="http://schemas.microsoft.com/office/drawing/2014/main" id="{00000000-0008-0000-0000-00000B000000}"/>
                </a:ext>
              </a:extLst>
            </xdr:cNvPr>
            <xdr:cNvGrpSpPr/>
          </xdr:nvGrpSpPr>
          <xdr:grpSpPr>
            <a:xfrm>
              <a:off x="4081459" y="17971770"/>
              <a:ext cx="5204339" cy="609927"/>
              <a:chOff x="5418763" y="18237608"/>
              <a:chExt cx="5233540" cy="661178"/>
            </a:xfrm>
          </xdr:grpSpPr>
          <xdr:sp macro="" textlink="">
            <xdr:nvSpPr>
              <xdr:cNvPr id="37190" name="Group Box 1350" hidden="1">
                <a:extLst>
                  <a:ext uri="{63B3BB69-23CF-44E3-9099-C40C66FF867C}">
                    <a14:compatExt spid="_x0000_s37190"/>
                  </a:ext>
                  <a:ext uri="{FF2B5EF4-FFF2-40B4-BE49-F238E27FC236}">
                    <a16:creationId xmlns:a16="http://schemas.microsoft.com/office/drawing/2014/main" id="{00000000-0008-0000-0000-000046910000}"/>
                  </a:ext>
                </a:extLst>
              </xdr:cNvPr>
              <xdr:cNvSpPr/>
            </xdr:nvSpPr>
            <xdr:spPr bwMode="auto">
              <a:xfrm>
                <a:off x="6023916" y="18237608"/>
                <a:ext cx="4628387" cy="66117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1350</a:t>
                </a:r>
              </a:p>
            </xdr:txBody>
          </xdr:sp>
          <xdr:sp macro="" textlink="">
            <xdr:nvSpPr>
              <xdr:cNvPr id="37192" name="Check Box 1352" hidden="1">
                <a:extLst>
                  <a:ext uri="{63B3BB69-23CF-44E3-9099-C40C66FF867C}">
                    <a14:compatExt spid="_x0000_s37192"/>
                  </a:ext>
                  <a:ext uri="{FF2B5EF4-FFF2-40B4-BE49-F238E27FC236}">
                    <a16:creationId xmlns:a16="http://schemas.microsoft.com/office/drawing/2014/main" id="{00000000-0008-0000-0000-000048910000}"/>
                  </a:ext>
                </a:extLst>
              </xdr:cNvPr>
              <xdr:cNvSpPr/>
            </xdr:nvSpPr>
            <xdr:spPr bwMode="auto">
              <a:xfrm>
                <a:off x="5418763" y="18298756"/>
                <a:ext cx="349553"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93" name="Check Box 1353" hidden="1">
                <a:extLst>
                  <a:ext uri="{63B3BB69-23CF-44E3-9099-C40C66FF867C}">
                    <a14:compatExt spid="_x0000_s37193"/>
                  </a:ext>
                  <a:ext uri="{FF2B5EF4-FFF2-40B4-BE49-F238E27FC236}">
                    <a16:creationId xmlns:a16="http://schemas.microsoft.com/office/drawing/2014/main" id="{00000000-0008-0000-0000-000049910000}"/>
                  </a:ext>
                </a:extLst>
              </xdr:cNvPr>
              <xdr:cNvSpPr/>
            </xdr:nvSpPr>
            <xdr:spPr bwMode="auto">
              <a:xfrm>
                <a:off x="8164128" y="18313793"/>
                <a:ext cx="280439"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97" name="Option Button 1357" hidden="1">
                <a:extLst>
                  <a:ext uri="{63B3BB69-23CF-44E3-9099-C40C66FF867C}">
                    <a14:compatExt spid="_x0000_s37197"/>
                  </a:ext>
                  <a:ext uri="{FF2B5EF4-FFF2-40B4-BE49-F238E27FC236}">
                    <a16:creationId xmlns:a16="http://schemas.microsoft.com/office/drawing/2014/main" id="{00000000-0008-0000-0000-00004D910000}"/>
                  </a:ext>
                </a:extLst>
              </xdr:cNvPr>
              <xdr:cNvSpPr/>
            </xdr:nvSpPr>
            <xdr:spPr bwMode="auto">
              <a:xfrm>
                <a:off x="6559956" y="18619490"/>
                <a:ext cx="346942" cy="2194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98" name="Option Button 1358" hidden="1">
                <a:extLst>
                  <a:ext uri="{63B3BB69-23CF-44E3-9099-C40C66FF867C}">
                    <a14:compatExt spid="_x0000_s37198"/>
                  </a:ext>
                  <a:ext uri="{FF2B5EF4-FFF2-40B4-BE49-F238E27FC236}">
                    <a16:creationId xmlns:a16="http://schemas.microsoft.com/office/drawing/2014/main" id="{00000000-0008-0000-0000-00004E910000}"/>
                  </a:ext>
                </a:extLst>
              </xdr:cNvPr>
              <xdr:cNvSpPr/>
            </xdr:nvSpPr>
            <xdr:spPr bwMode="auto">
              <a:xfrm>
                <a:off x="7444897" y="18613454"/>
                <a:ext cx="322079" cy="2200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18</xdr:col>
      <xdr:colOff>581024</xdr:colOff>
      <xdr:row>8</xdr:row>
      <xdr:rowOff>209550</xdr:rowOff>
    </xdr:from>
    <xdr:to>
      <xdr:col>23</xdr:col>
      <xdr:colOff>95248</xdr:colOff>
      <xdr:row>26</xdr:row>
      <xdr:rowOff>135255</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001999" y="1933575"/>
          <a:ext cx="3552825" cy="3556635"/>
        </a:xfrm>
        <a:prstGeom prst="rect">
          <a:avLst/>
        </a:prstGeom>
      </xdr:spPr>
    </xdr:pic>
    <xdr:clientData/>
  </xdr:twoCellAnchor>
  <xdr:twoCellAnchor>
    <xdr:from>
      <xdr:col>19</xdr:col>
      <xdr:colOff>57149</xdr:colOff>
      <xdr:row>38</xdr:row>
      <xdr:rowOff>0</xdr:rowOff>
    </xdr:from>
    <xdr:to>
      <xdr:col>23</xdr:col>
      <xdr:colOff>1193132</xdr:colOff>
      <xdr:row>48</xdr:row>
      <xdr:rowOff>219074</xdr:rowOff>
    </xdr:to>
    <xdr:grpSp>
      <xdr:nvGrpSpPr>
        <xdr:cNvPr id="18" name="Group 17">
          <a:extLst>
            <a:ext uri="{FF2B5EF4-FFF2-40B4-BE49-F238E27FC236}">
              <a16:creationId xmlns:a16="http://schemas.microsoft.com/office/drawing/2014/main" id="{00000000-0008-0000-0000-000012000000}"/>
            </a:ext>
          </a:extLst>
        </xdr:cNvPr>
        <xdr:cNvGrpSpPr>
          <a:grpSpLocks noChangeAspect="1"/>
        </xdr:cNvGrpSpPr>
      </xdr:nvGrpSpPr>
      <xdr:grpSpPr>
        <a:xfrm>
          <a:off x="16706849" y="7934325"/>
          <a:ext cx="4336383" cy="2886074"/>
          <a:chOff x="15003995" y="7181879"/>
          <a:chExt cx="4760379" cy="3106800"/>
        </a:xfrm>
      </xdr:grpSpPr>
      <mc:AlternateContent xmlns:mc="http://schemas.openxmlformats.org/markup-compatibility/2006" xmlns:a14="http://schemas.microsoft.com/office/drawing/2010/main">
        <mc:Choice Requires="a14">
          <xdr:pic>
            <xdr:nvPicPr>
              <xdr:cNvPr id="12" name="Picture 11">
                <a:extLst>
                  <a:ext uri="{FF2B5EF4-FFF2-40B4-BE49-F238E27FC236}">
                    <a16:creationId xmlns:a16="http://schemas.microsoft.com/office/drawing/2014/main" id="{00000000-0008-0000-0000-00000C000000}"/>
                  </a:ext>
                </a:extLst>
              </xdr:cNvPr>
              <xdr:cNvPicPr>
                <a:picLocks noChangeAspect="1"/>
                <a:extLst>
                  <a:ext uri="{84589F7E-364E-4C9E-8A38-B11213B215E9}">
                    <a14:cameraTool cellRange="layout." spid="_x0000_s68367"/>
                  </a:ext>
                </a:extLst>
              </xdr:cNvPicPr>
            </xdr:nvPicPr>
            <xdr:blipFill>
              <a:blip xmlns:r="http://schemas.openxmlformats.org/officeDocument/2006/relationships" r:embed="rId4"/>
              <a:stretch>
                <a:fillRect/>
              </a:stretch>
            </xdr:blipFill>
            <xdr:spPr>
              <a:xfrm>
                <a:off x="15003995" y="7181879"/>
                <a:ext cx="4760379" cy="3106800"/>
              </a:xfrm>
              <a:prstGeom prst="rect">
                <a:avLst/>
              </a:prstGeom>
            </xdr:spPr>
          </xdr:pic>
        </mc:Choice>
        <mc:Fallback xmlns=""/>
      </mc:AlternateContent>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6487775" y="7474805"/>
            <a:ext cx="1766420" cy="297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b="0" u="sng"/>
              <a:t>Layout</a:t>
            </a:r>
            <a:r>
              <a:rPr lang="en-AU" sz="1200" b="0" u="sng" baseline="0"/>
              <a:t> Diagram</a:t>
            </a:r>
            <a:endParaRPr lang="en-AU" sz="1200" b="0" u="sng"/>
          </a:p>
        </xdr:txBody>
      </xdr:sp>
    </xdr:grpSp>
    <xdr:clientData/>
  </xdr:twoCellAnchor>
  <mc:AlternateContent xmlns:mc="http://schemas.openxmlformats.org/markup-compatibility/2006">
    <mc:Choice xmlns:a14="http://schemas.microsoft.com/office/drawing/2010/main" Requires="a14">
      <xdr:twoCellAnchor>
        <xdr:from>
          <xdr:col>4</xdr:col>
          <xdr:colOff>1064174</xdr:colOff>
          <xdr:row>81</xdr:row>
          <xdr:rowOff>26307</xdr:rowOff>
        </xdr:from>
        <xdr:to>
          <xdr:col>14</xdr:col>
          <xdr:colOff>700186</xdr:colOff>
          <xdr:row>82</xdr:row>
          <xdr:rowOff>0</xdr:rowOff>
        </xdr:to>
        <xdr:grpSp>
          <xdr:nvGrpSpPr>
            <xdr:cNvPr id="8" name="box height">
              <a:extLst>
                <a:ext uri="{FF2B5EF4-FFF2-40B4-BE49-F238E27FC236}">
                  <a16:creationId xmlns:a16="http://schemas.microsoft.com/office/drawing/2014/main" id="{00000000-0008-0000-0000-000008000000}"/>
                </a:ext>
              </a:extLst>
            </xdr:cNvPr>
            <xdr:cNvGrpSpPr/>
          </xdr:nvGrpSpPr>
          <xdr:grpSpPr>
            <a:xfrm>
              <a:off x="3931199" y="19904982"/>
              <a:ext cx="8922887" cy="288018"/>
              <a:chOff x="5001180" y="18097969"/>
              <a:chExt cx="9571810" cy="312953"/>
            </a:xfrm>
          </xdr:grpSpPr>
          <xdr:sp macro="" textlink="">
            <xdr:nvSpPr>
              <xdr:cNvPr id="37146" name="connnection box Box" hidden="1">
                <a:extLst>
                  <a:ext uri="{63B3BB69-23CF-44E3-9099-C40C66FF867C}">
                    <a14:compatExt spid="_x0000_s37146"/>
                  </a:ext>
                  <a:ext uri="{FF2B5EF4-FFF2-40B4-BE49-F238E27FC236}">
                    <a16:creationId xmlns:a16="http://schemas.microsoft.com/office/drawing/2014/main" id="{00000000-0008-0000-0000-00001A910000}"/>
                  </a:ext>
                </a:extLst>
              </xdr:cNvPr>
              <xdr:cNvSpPr/>
            </xdr:nvSpPr>
            <xdr:spPr bwMode="auto">
              <a:xfrm>
                <a:off x="5001180" y="18097969"/>
                <a:ext cx="9571810" cy="312953"/>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sdf</a:t>
                </a:r>
              </a:p>
            </xdr:txBody>
          </xdr:sp>
          <xdr:sp macro="" textlink="">
            <xdr:nvSpPr>
              <xdr:cNvPr id="37147" name="Option Button 1307" hidden="1">
                <a:extLst>
                  <a:ext uri="{63B3BB69-23CF-44E3-9099-C40C66FF867C}">
                    <a14:compatExt spid="_x0000_s37147"/>
                  </a:ext>
                  <a:ext uri="{FF2B5EF4-FFF2-40B4-BE49-F238E27FC236}">
                    <a16:creationId xmlns:a16="http://schemas.microsoft.com/office/drawing/2014/main" id="{00000000-0008-0000-0000-00001B910000}"/>
                  </a:ext>
                </a:extLst>
              </xdr:cNvPr>
              <xdr:cNvSpPr/>
            </xdr:nvSpPr>
            <xdr:spPr bwMode="auto">
              <a:xfrm>
                <a:off x="5072159" y="18136751"/>
                <a:ext cx="527414" cy="2133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48" name="Option Button 1308" hidden="1">
                <a:extLst>
                  <a:ext uri="{63B3BB69-23CF-44E3-9099-C40C66FF867C}">
                    <a14:compatExt spid="_x0000_s37148"/>
                  </a:ext>
                  <a:ext uri="{FF2B5EF4-FFF2-40B4-BE49-F238E27FC236}">
                    <a16:creationId xmlns:a16="http://schemas.microsoft.com/office/drawing/2014/main" id="{00000000-0008-0000-0000-00001C910000}"/>
                  </a:ext>
                </a:extLst>
              </xdr:cNvPr>
              <xdr:cNvSpPr/>
            </xdr:nvSpPr>
            <xdr:spPr bwMode="auto">
              <a:xfrm>
                <a:off x="7598940" y="18136415"/>
                <a:ext cx="519794"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49" name="Option Button 1309" hidden="1">
                <a:extLst>
                  <a:ext uri="{63B3BB69-23CF-44E3-9099-C40C66FF867C}">
                    <a14:compatExt spid="_x0000_s37149"/>
                  </a:ext>
                  <a:ext uri="{FF2B5EF4-FFF2-40B4-BE49-F238E27FC236}">
                    <a16:creationId xmlns:a16="http://schemas.microsoft.com/office/drawing/2014/main" id="{00000000-0008-0000-0000-00001D910000}"/>
                  </a:ext>
                </a:extLst>
              </xdr:cNvPr>
              <xdr:cNvSpPr/>
            </xdr:nvSpPr>
            <xdr:spPr bwMode="auto">
              <a:xfrm>
                <a:off x="9568200" y="18136751"/>
                <a:ext cx="512172"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150" name="Option Button 1310" hidden="1">
                <a:extLst>
                  <a:ext uri="{63B3BB69-23CF-44E3-9099-C40C66FF867C}">
                    <a14:compatExt spid="_x0000_s37150"/>
                  </a:ext>
                  <a:ext uri="{FF2B5EF4-FFF2-40B4-BE49-F238E27FC236}">
                    <a16:creationId xmlns:a16="http://schemas.microsoft.com/office/drawing/2014/main" id="{00000000-0008-0000-0000-00001E910000}"/>
                  </a:ext>
                </a:extLst>
              </xdr:cNvPr>
              <xdr:cNvSpPr/>
            </xdr:nvSpPr>
            <xdr:spPr bwMode="auto">
              <a:xfrm>
                <a:off x="11539073" y="18134382"/>
                <a:ext cx="512172"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293562</xdr:colOff>
          <xdr:row>76</xdr:row>
          <xdr:rowOff>305785</xdr:rowOff>
        </xdr:from>
        <xdr:to>
          <xdr:col>14</xdr:col>
          <xdr:colOff>767841</xdr:colOff>
          <xdr:row>78</xdr:row>
          <xdr:rowOff>258743</xdr:rowOff>
        </xdr:to>
        <xdr:grpSp>
          <xdr:nvGrpSpPr>
            <xdr:cNvPr id="19" name="wall sensor">
              <a:extLst>
                <a:ext uri="{FF2B5EF4-FFF2-40B4-BE49-F238E27FC236}">
                  <a16:creationId xmlns:a16="http://schemas.microsoft.com/office/drawing/2014/main" id="{00000000-0008-0000-0000-000013000000}"/>
                </a:ext>
              </a:extLst>
            </xdr:cNvPr>
            <xdr:cNvGrpSpPr/>
          </xdr:nvGrpSpPr>
          <xdr:grpSpPr>
            <a:xfrm>
              <a:off x="3160587" y="18612835"/>
              <a:ext cx="9761154" cy="581608"/>
              <a:chOff x="5654892" y="18335624"/>
              <a:chExt cx="9808777" cy="582086"/>
            </a:xfrm>
          </xdr:grpSpPr>
          <xdr:sp macro="" textlink="">
            <xdr:nvSpPr>
              <xdr:cNvPr id="37194" name="Check Box 1354" hidden="1">
                <a:extLst>
                  <a:ext uri="{63B3BB69-23CF-44E3-9099-C40C66FF867C}">
                    <a14:compatExt spid="_x0000_s37194"/>
                  </a:ext>
                  <a:ext uri="{FF2B5EF4-FFF2-40B4-BE49-F238E27FC236}">
                    <a16:creationId xmlns:a16="http://schemas.microsoft.com/office/drawing/2014/main" id="{00000000-0008-0000-0000-00004A910000}"/>
                  </a:ext>
                </a:extLst>
              </xdr:cNvPr>
              <xdr:cNvSpPr/>
            </xdr:nvSpPr>
            <xdr:spPr bwMode="auto">
              <a:xfrm>
                <a:off x="12627668" y="18758258"/>
                <a:ext cx="254221" cy="1566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9165" name="Group Box 2061" hidden="1">
                <a:extLst>
                  <a:ext uri="{63B3BB69-23CF-44E3-9099-C40C66FF867C}">
                    <a14:compatExt spid="_x0000_s49165"/>
                  </a:ext>
                  <a:ext uri="{FF2B5EF4-FFF2-40B4-BE49-F238E27FC236}">
                    <a16:creationId xmlns:a16="http://schemas.microsoft.com/office/drawing/2014/main" id="{00000000-0008-0000-0000-00000DC00000}"/>
                  </a:ext>
                </a:extLst>
              </xdr:cNvPr>
              <xdr:cNvSpPr/>
            </xdr:nvSpPr>
            <xdr:spPr bwMode="auto">
              <a:xfrm>
                <a:off x="5654892" y="18335624"/>
                <a:ext cx="9808777" cy="57707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2061</a:t>
                </a:r>
              </a:p>
            </xdr:txBody>
          </xdr:sp>
          <xdr:sp macro="" textlink="">
            <xdr:nvSpPr>
              <xdr:cNvPr id="49166" name="Option Button 2062" hidden="1">
                <a:extLst>
                  <a:ext uri="{63B3BB69-23CF-44E3-9099-C40C66FF867C}">
                    <a14:compatExt spid="_x0000_s49166"/>
                  </a:ext>
                  <a:ext uri="{FF2B5EF4-FFF2-40B4-BE49-F238E27FC236}">
                    <a16:creationId xmlns:a16="http://schemas.microsoft.com/office/drawing/2014/main" id="{00000000-0008-0000-0000-00000EC00000}"/>
                  </a:ext>
                </a:extLst>
              </xdr:cNvPr>
              <xdr:cNvSpPr/>
            </xdr:nvSpPr>
            <xdr:spPr bwMode="auto">
              <a:xfrm>
                <a:off x="6629350" y="18434273"/>
                <a:ext cx="442501" cy="1566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9167" name="Option Button 2063" hidden="1">
                <a:extLst>
                  <a:ext uri="{63B3BB69-23CF-44E3-9099-C40C66FF867C}">
                    <a14:compatExt spid="_x0000_s49167"/>
                  </a:ext>
                  <a:ext uri="{FF2B5EF4-FFF2-40B4-BE49-F238E27FC236}">
                    <a16:creationId xmlns:a16="http://schemas.microsoft.com/office/drawing/2014/main" id="{00000000-0008-0000-0000-00000FC00000}"/>
                  </a:ext>
                </a:extLst>
              </xdr:cNvPr>
              <xdr:cNvSpPr/>
            </xdr:nvSpPr>
            <xdr:spPr bwMode="auto">
              <a:xfrm>
                <a:off x="8134151" y="18433509"/>
                <a:ext cx="456342" cy="1566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9198" name="Check Box 2094" hidden="1">
                <a:extLst>
                  <a:ext uri="{63B3BB69-23CF-44E3-9099-C40C66FF867C}">
                    <a14:compatExt spid="_x0000_s49198"/>
                  </a:ext>
                  <a:ext uri="{FF2B5EF4-FFF2-40B4-BE49-F238E27FC236}">
                    <a16:creationId xmlns:a16="http://schemas.microsoft.com/office/drawing/2014/main" id="{00000000-0008-0000-0000-00002EC00000}"/>
                  </a:ext>
                </a:extLst>
              </xdr:cNvPr>
              <xdr:cNvSpPr/>
            </xdr:nvSpPr>
            <xdr:spPr bwMode="auto">
              <a:xfrm>
                <a:off x="13630077" y="18761511"/>
                <a:ext cx="329289" cy="1561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9399" name="Option Button 2295" hidden="1">
                <a:extLst>
                  <a:ext uri="{63B3BB69-23CF-44E3-9099-C40C66FF867C}">
                    <a14:compatExt spid="_x0000_s49399"/>
                  </a:ext>
                  <a:ext uri="{FF2B5EF4-FFF2-40B4-BE49-F238E27FC236}">
                    <a16:creationId xmlns:a16="http://schemas.microsoft.com/office/drawing/2014/main" id="{00000000-0008-0000-0000-0000F7C00000}"/>
                  </a:ext>
                </a:extLst>
              </xdr:cNvPr>
              <xdr:cNvSpPr/>
            </xdr:nvSpPr>
            <xdr:spPr bwMode="auto">
              <a:xfrm>
                <a:off x="11597699" y="18402314"/>
                <a:ext cx="4762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1495425</xdr:colOff>
          <xdr:row>73</xdr:row>
          <xdr:rowOff>266700</xdr:rowOff>
        </xdr:from>
        <xdr:to>
          <xdr:col>12</xdr:col>
          <xdr:colOff>56735</xdr:colOff>
          <xdr:row>75</xdr:row>
          <xdr:rowOff>75307</xdr:rowOff>
        </xdr:to>
        <xdr:grpSp>
          <xdr:nvGrpSpPr>
            <xdr:cNvPr id="13" name="face shape">
              <a:extLst>
                <a:ext uri="{FF2B5EF4-FFF2-40B4-BE49-F238E27FC236}">
                  <a16:creationId xmlns:a16="http://schemas.microsoft.com/office/drawing/2014/main" id="{00000000-0008-0000-0000-00000D000000}"/>
                </a:ext>
              </a:extLst>
            </xdr:cNvPr>
            <xdr:cNvGrpSpPr/>
          </xdr:nvGrpSpPr>
          <xdr:grpSpPr>
            <a:xfrm>
              <a:off x="3962400" y="17630775"/>
              <a:ext cx="6419435" cy="437257"/>
              <a:chOff x="5293165" y="17251985"/>
              <a:chExt cx="6917470" cy="367911"/>
            </a:xfrm>
          </xdr:grpSpPr>
          <xdr:sp macro="" textlink="">
            <xdr:nvSpPr>
              <xdr:cNvPr id="1082" name="Group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5293165" y="17251985"/>
                <a:ext cx="6917470" cy="367911"/>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58</a:t>
                </a:r>
              </a:p>
            </xdr:txBody>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5695658" y="17349022"/>
                <a:ext cx="468187" cy="1900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Option Butto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7954325" y="17349024"/>
                <a:ext cx="502694" cy="1983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9805" name="Option Button 2701" hidden="1">
                <a:extLst>
                  <a:ext uri="{63B3BB69-23CF-44E3-9099-C40C66FF867C}">
                    <a14:compatExt spid="_x0000_s49805"/>
                  </a:ext>
                  <a:ext uri="{FF2B5EF4-FFF2-40B4-BE49-F238E27FC236}">
                    <a16:creationId xmlns:a16="http://schemas.microsoft.com/office/drawing/2014/main" id="{00000000-0008-0000-0000-00008DC20000}"/>
                  </a:ext>
                </a:extLst>
              </xdr:cNvPr>
              <xdr:cNvSpPr/>
            </xdr:nvSpPr>
            <xdr:spPr bwMode="auto">
              <a:xfrm>
                <a:off x="11051988" y="17321107"/>
                <a:ext cx="514352" cy="2194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64477</xdr:colOff>
          <xdr:row>83</xdr:row>
          <xdr:rowOff>0</xdr:rowOff>
        </xdr:from>
        <xdr:to>
          <xdr:col>12</xdr:col>
          <xdr:colOff>629479</xdr:colOff>
          <xdr:row>84</xdr:row>
          <xdr:rowOff>0</xdr:rowOff>
        </xdr:to>
        <xdr:grpSp>
          <xdr:nvGrpSpPr>
            <xdr:cNvPr id="20" name="insulation">
              <a:extLst>
                <a:ext uri="{FF2B5EF4-FFF2-40B4-BE49-F238E27FC236}">
                  <a16:creationId xmlns:a16="http://schemas.microsoft.com/office/drawing/2014/main" id="{00000000-0008-0000-0000-000014000000}"/>
                </a:ext>
              </a:extLst>
            </xdr:cNvPr>
            <xdr:cNvGrpSpPr/>
          </xdr:nvGrpSpPr>
          <xdr:grpSpPr>
            <a:xfrm>
              <a:off x="7646377" y="20507325"/>
              <a:ext cx="3308202" cy="314325"/>
              <a:chOff x="8387884" y="19878119"/>
              <a:chExt cx="3378542" cy="322385"/>
            </a:xfrm>
          </xdr:grpSpPr>
          <xdr:sp macro="" textlink="">
            <xdr:nvSpPr>
              <xdr:cNvPr id="49895" name="Group Box 2791" hidden="1">
                <a:extLst>
                  <a:ext uri="{63B3BB69-23CF-44E3-9099-C40C66FF867C}">
                    <a14:compatExt spid="_x0000_s49895"/>
                  </a:ext>
                  <a:ext uri="{FF2B5EF4-FFF2-40B4-BE49-F238E27FC236}">
                    <a16:creationId xmlns:a16="http://schemas.microsoft.com/office/drawing/2014/main" id="{00000000-0008-0000-0000-0000E7C20000}"/>
                  </a:ext>
                </a:extLst>
              </xdr:cNvPr>
              <xdr:cNvSpPr/>
            </xdr:nvSpPr>
            <xdr:spPr bwMode="auto">
              <a:xfrm>
                <a:off x="8387884" y="19878119"/>
                <a:ext cx="3378542" cy="32238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2791</a:t>
                </a:r>
              </a:p>
            </xdr:txBody>
          </xdr:sp>
          <xdr:sp macro="" textlink="">
            <xdr:nvSpPr>
              <xdr:cNvPr id="49898" name="Option Button 2794" hidden="1">
                <a:extLst>
                  <a:ext uri="{63B3BB69-23CF-44E3-9099-C40C66FF867C}">
                    <a14:compatExt spid="_x0000_s49898"/>
                  </a:ext>
                  <a:ext uri="{FF2B5EF4-FFF2-40B4-BE49-F238E27FC236}">
                    <a16:creationId xmlns:a16="http://schemas.microsoft.com/office/drawing/2014/main" id="{00000000-0008-0000-0000-0000EAC20000}"/>
                  </a:ext>
                </a:extLst>
              </xdr:cNvPr>
              <xdr:cNvSpPr/>
            </xdr:nvSpPr>
            <xdr:spPr bwMode="auto">
              <a:xfrm>
                <a:off x="8537739" y="19931969"/>
                <a:ext cx="511129"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9899" name="Option Button 2795" hidden="1">
                <a:extLst>
                  <a:ext uri="{63B3BB69-23CF-44E3-9099-C40C66FF867C}">
                    <a14:compatExt spid="_x0000_s49899"/>
                  </a:ext>
                  <a:ext uri="{FF2B5EF4-FFF2-40B4-BE49-F238E27FC236}">
                    <a16:creationId xmlns:a16="http://schemas.microsoft.com/office/drawing/2014/main" id="{00000000-0008-0000-0000-0000EBC20000}"/>
                  </a:ext>
                </a:extLst>
              </xdr:cNvPr>
              <xdr:cNvSpPr/>
            </xdr:nvSpPr>
            <xdr:spPr bwMode="auto">
              <a:xfrm>
                <a:off x="10414544" y="19918291"/>
                <a:ext cx="707518"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83</xdr:row>
          <xdr:rowOff>14244</xdr:rowOff>
        </xdr:from>
        <xdr:to>
          <xdr:col>8</xdr:col>
          <xdr:colOff>10263</xdr:colOff>
          <xdr:row>83</xdr:row>
          <xdr:rowOff>307720</xdr:rowOff>
        </xdr:to>
        <xdr:grpSp>
          <xdr:nvGrpSpPr>
            <xdr:cNvPr id="21" name="box material">
              <a:extLst>
                <a:ext uri="{FF2B5EF4-FFF2-40B4-BE49-F238E27FC236}">
                  <a16:creationId xmlns:a16="http://schemas.microsoft.com/office/drawing/2014/main" id="{00000000-0008-0000-0000-000015000000}"/>
                </a:ext>
              </a:extLst>
            </xdr:cNvPr>
            <xdr:cNvGrpSpPr/>
          </xdr:nvGrpSpPr>
          <xdr:grpSpPr>
            <a:xfrm>
              <a:off x="3971925" y="20521569"/>
              <a:ext cx="2705838" cy="293476"/>
              <a:chOff x="5469394" y="19880666"/>
              <a:chExt cx="2842262" cy="300139"/>
            </a:xfrm>
          </xdr:grpSpPr>
          <xdr:sp macro="" textlink="">
            <xdr:nvSpPr>
              <xdr:cNvPr id="49904" name="Group Box 2800" hidden="1">
                <a:extLst>
                  <a:ext uri="{63B3BB69-23CF-44E3-9099-C40C66FF867C}">
                    <a14:compatExt spid="_x0000_s49904"/>
                  </a:ext>
                  <a:ext uri="{FF2B5EF4-FFF2-40B4-BE49-F238E27FC236}">
                    <a16:creationId xmlns:a16="http://schemas.microsoft.com/office/drawing/2014/main" id="{00000000-0008-0000-0000-0000F0C20000}"/>
                  </a:ext>
                </a:extLst>
              </xdr:cNvPr>
              <xdr:cNvSpPr/>
            </xdr:nvSpPr>
            <xdr:spPr bwMode="auto">
              <a:xfrm>
                <a:off x="5469394" y="19880666"/>
                <a:ext cx="2842262" cy="300139"/>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2800</a:t>
                </a:r>
              </a:p>
            </xdr:txBody>
          </xdr:sp>
          <xdr:sp macro="" textlink="">
            <xdr:nvSpPr>
              <xdr:cNvPr id="49905" name="Option Button 2801" hidden="1">
                <a:extLst>
                  <a:ext uri="{63B3BB69-23CF-44E3-9099-C40C66FF867C}">
                    <a14:compatExt spid="_x0000_s49905"/>
                  </a:ext>
                  <a:ext uri="{FF2B5EF4-FFF2-40B4-BE49-F238E27FC236}">
                    <a16:creationId xmlns:a16="http://schemas.microsoft.com/office/drawing/2014/main" id="{00000000-0008-0000-0000-0000F1C20000}"/>
                  </a:ext>
                </a:extLst>
              </xdr:cNvPr>
              <xdr:cNvSpPr/>
            </xdr:nvSpPr>
            <xdr:spPr bwMode="auto">
              <a:xfrm>
                <a:off x="5573802" y="19922499"/>
                <a:ext cx="345527"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9908" name="Option Button 2804" hidden="1">
                <a:extLst>
                  <a:ext uri="{63B3BB69-23CF-44E3-9099-C40C66FF867C}">
                    <a14:compatExt spid="_x0000_s49908"/>
                  </a:ext>
                  <a:ext uri="{FF2B5EF4-FFF2-40B4-BE49-F238E27FC236}">
                    <a16:creationId xmlns:a16="http://schemas.microsoft.com/office/drawing/2014/main" id="{00000000-0008-0000-0000-0000F4C20000}"/>
                  </a:ext>
                </a:extLst>
              </xdr:cNvPr>
              <xdr:cNvSpPr/>
            </xdr:nvSpPr>
            <xdr:spPr bwMode="auto">
              <a:xfrm>
                <a:off x="7553113" y="19931961"/>
                <a:ext cx="739726"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14</xdr:row>
          <xdr:rowOff>180975</xdr:rowOff>
        </xdr:from>
        <xdr:to>
          <xdr:col>4</xdr:col>
          <xdr:colOff>266700</xdr:colOff>
          <xdr:row>16</xdr:row>
          <xdr:rowOff>9525</xdr:rowOff>
        </xdr:to>
        <xdr:sp macro="" textlink="">
          <xdr:nvSpPr>
            <xdr:cNvPr id="50083" name="Check Box 2979" hidden="1">
              <a:extLst>
                <a:ext uri="{63B3BB69-23CF-44E3-9099-C40C66FF867C}">
                  <a14:compatExt spid="_x0000_s50083"/>
                </a:ext>
                <a:ext uri="{FF2B5EF4-FFF2-40B4-BE49-F238E27FC236}">
                  <a16:creationId xmlns:a16="http://schemas.microsoft.com/office/drawing/2014/main" id="{00000000-0008-0000-0000-0000A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1014071</xdr:colOff>
          <xdr:row>79</xdr:row>
          <xdr:rowOff>310972</xdr:rowOff>
        </xdr:from>
        <xdr:to>
          <xdr:col>13</xdr:col>
          <xdr:colOff>343658</xdr:colOff>
          <xdr:row>81</xdr:row>
          <xdr:rowOff>13146</xdr:rowOff>
        </xdr:to>
        <xdr:grpSp>
          <xdr:nvGrpSpPr>
            <xdr:cNvPr id="4" name="connection box">
              <a:extLst>
                <a:ext uri="{FF2B5EF4-FFF2-40B4-BE49-F238E27FC236}">
                  <a16:creationId xmlns:a16="http://schemas.microsoft.com/office/drawing/2014/main" id="{00000000-0008-0000-0000-000004000000}"/>
                </a:ext>
              </a:extLst>
            </xdr:cNvPr>
            <xdr:cNvGrpSpPr/>
          </xdr:nvGrpSpPr>
          <xdr:grpSpPr>
            <a:xfrm>
              <a:off x="3881096" y="19560997"/>
              <a:ext cx="7702062" cy="330824"/>
              <a:chOff x="3885580" y="20561711"/>
              <a:chExt cx="7701169" cy="330021"/>
            </a:xfrm>
          </xdr:grpSpPr>
          <xdr:sp macro="" textlink="">
            <xdr:nvSpPr>
              <xdr:cNvPr id="68043" name="Group Box 3531" hidden="1">
                <a:extLst>
                  <a:ext uri="{63B3BB69-23CF-44E3-9099-C40C66FF867C}">
                    <a14:compatExt spid="_x0000_s68043"/>
                  </a:ext>
                  <a:ext uri="{FF2B5EF4-FFF2-40B4-BE49-F238E27FC236}">
                    <a16:creationId xmlns:a16="http://schemas.microsoft.com/office/drawing/2014/main" id="{00000000-0008-0000-0000-0000CB090100}"/>
                  </a:ext>
                </a:extLst>
              </xdr:cNvPr>
              <xdr:cNvSpPr/>
            </xdr:nvSpPr>
            <xdr:spPr bwMode="auto">
              <a:xfrm>
                <a:off x="3885580" y="20561711"/>
                <a:ext cx="7701169" cy="330021"/>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AU" sz="800" b="0" i="0" u="none" strike="noStrike" baseline="0">
                    <a:solidFill>
                      <a:srgbClr val="000000"/>
                    </a:solidFill>
                    <a:latin typeface="Segoe UI"/>
                    <a:cs typeface="Segoe UI"/>
                  </a:rPr>
                  <a:t>Group Box 3531</a:t>
                </a:r>
              </a:p>
            </xdr:txBody>
          </xdr:sp>
          <xdr:sp macro="" textlink="">
            <xdr:nvSpPr>
              <xdr:cNvPr id="68044" name="Option Button 3532" hidden="1">
                <a:extLst>
                  <a:ext uri="{63B3BB69-23CF-44E3-9099-C40C66FF867C}">
                    <a14:compatExt spid="_x0000_s68044"/>
                  </a:ext>
                  <a:ext uri="{FF2B5EF4-FFF2-40B4-BE49-F238E27FC236}">
                    <a16:creationId xmlns:a16="http://schemas.microsoft.com/office/drawing/2014/main" id="{00000000-0008-0000-0000-0000CC090100}"/>
                  </a:ext>
                </a:extLst>
              </xdr:cNvPr>
              <xdr:cNvSpPr/>
            </xdr:nvSpPr>
            <xdr:spPr bwMode="auto">
              <a:xfrm>
                <a:off x="4073027" y="20612222"/>
                <a:ext cx="475240" cy="2183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8045" name="Option Button 3533" hidden="1">
                <a:extLst>
                  <a:ext uri="{63B3BB69-23CF-44E3-9099-C40C66FF867C}">
                    <a14:compatExt spid="_x0000_s68045"/>
                  </a:ext>
                  <a:ext uri="{FF2B5EF4-FFF2-40B4-BE49-F238E27FC236}">
                    <a16:creationId xmlns:a16="http://schemas.microsoft.com/office/drawing/2014/main" id="{00000000-0008-0000-0000-0000CD090100}"/>
                  </a:ext>
                </a:extLst>
              </xdr:cNvPr>
              <xdr:cNvSpPr/>
            </xdr:nvSpPr>
            <xdr:spPr bwMode="auto">
              <a:xfrm>
                <a:off x="5706664" y="20618123"/>
                <a:ext cx="475240" cy="2183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8046" name="Option Button 3534" hidden="1">
                <a:extLst>
                  <a:ext uri="{63B3BB69-23CF-44E3-9099-C40C66FF867C}">
                    <a14:compatExt spid="_x0000_s68046"/>
                  </a:ext>
                  <a:ext uri="{FF2B5EF4-FFF2-40B4-BE49-F238E27FC236}">
                    <a16:creationId xmlns:a16="http://schemas.microsoft.com/office/drawing/2014/main" id="{00000000-0008-0000-0000-0000CE090100}"/>
                  </a:ext>
                </a:extLst>
              </xdr:cNvPr>
              <xdr:cNvSpPr/>
            </xdr:nvSpPr>
            <xdr:spPr bwMode="auto">
              <a:xfrm>
                <a:off x="7352181" y="20606323"/>
                <a:ext cx="475240" cy="2183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8117" name="Option Button 3605" hidden="1">
                <a:extLst>
                  <a:ext uri="{63B3BB69-23CF-44E3-9099-C40C66FF867C}">
                    <a14:compatExt spid="_x0000_s68117"/>
                  </a:ext>
                  <a:ext uri="{FF2B5EF4-FFF2-40B4-BE49-F238E27FC236}">
                    <a16:creationId xmlns:a16="http://schemas.microsoft.com/office/drawing/2014/main" id="{00000000-0008-0000-0000-0000150A0100}"/>
                  </a:ext>
                </a:extLst>
              </xdr:cNvPr>
              <xdr:cNvSpPr/>
            </xdr:nvSpPr>
            <xdr:spPr bwMode="auto">
              <a:xfrm>
                <a:off x="11046257" y="20603490"/>
                <a:ext cx="36741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18</xdr:col>
      <xdr:colOff>624855</xdr:colOff>
      <xdr:row>86</xdr:row>
      <xdr:rowOff>64770</xdr:rowOff>
    </xdr:from>
    <xdr:to>
      <xdr:col>27</xdr:col>
      <xdr:colOff>145051</xdr:colOff>
      <xdr:row>107</xdr:row>
      <xdr:rowOff>159925</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567690</xdr:colOff>
      <xdr:row>84</xdr:row>
      <xdr:rowOff>133350</xdr:rowOff>
    </xdr:from>
    <xdr:to>
      <xdr:col>22</xdr:col>
      <xdr:colOff>470535</xdr:colOff>
      <xdr:row>98</xdr:row>
      <xdr:rowOff>144780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995413</xdr:colOff>
      <xdr:row>464</xdr:row>
      <xdr:rowOff>26670</xdr:rowOff>
    </xdr:from>
    <xdr:to>
      <xdr:col>36</xdr:col>
      <xdr:colOff>203735</xdr:colOff>
      <xdr:row>479</xdr:row>
      <xdr:rowOff>26670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247650</xdr:colOff>
          <xdr:row>30</xdr:row>
          <xdr:rowOff>57150</xdr:rowOff>
        </xdr:from>
        <xdr:to>
          <xdr:col>18</xdr:col>
          <xdr:colOff>66675</xdr:colOff>
          <xdr:row>56</xdr:row>
          <xdr:rowOff>171450</xdr:rowOff>
        </xdr:to>
        <xdr:sp macro="" textlink="">
          <xdr:nvSpPr>
            <xdr:cNvPr id="4188" name="Object 92" hidden="1">
              <a:extLst>
                <a:ext uri="{63B3BB69-23CF-44E3-9099-C40C66FF867C}">
                  <a14:compatExt spid="_x0000_s4188"/>
                </a:ext>
                <a:ext uri="{FF2B5EF4-FFF2-40B4-BE49-F238E27FC236}">
                  <a16:creationId xmlns:a16="http://schemas.microsoft.com/office/drawing/2014/main" id="{00000000-0008-0000-03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145</xdr:row>
          <xdr:rowOff>47625</xdr:rowOff>
        </xdr:from>
        <xdr:to>
          <xdr:col>4</xdr:col>
          <xdr:colOff>638175</xdr:colOff>
          <xdr:row>146</xdr:row>
          <xdr:rowOff>0</xdr:rowOff>
        </xdr:to>
        <xdr:sp macro="" textlink="">
          <xdr:nvSpPr>
            <xdr:cNvPr id="4106" name="Object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146</xdr:row>
          <xdr:rowOff>47625</xdr:rowOff>
        </xdr:from>
        <xdr:to>
          <xdr:col>4</xdr:col>
          <xdr:colOff>647700</xdr:colOff>
          <xdr:row>147</xdr:row>
          <xdr:rowOff>0</xdr:rowOff>
        </xdr:to>
        <xdr:sp macro="" textlink="">
          <xdr:nvSpPr>
            <xdr:cNvPr id="4107" name="Object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112</xdr:row>
          <xdr:rowOff>66675</xdr:rowOff>
        </xdr:from>
        <xdr:to>
          <xdr:col>7</xdr:col>
          <xdr:colOff>647700</xdr:colOff>
          <xdr:row>127</xdr:row>
          <xdr:rowOff>123825</xdr:rowOff>
        </xdr:to>
        <xdr:sp macro="" textlink="">
          <xdr:nvSpPr>
            <xdr:cNvPr id="4109" name="Object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131</xdr:row>
          <xdr:rowOff>123825</xdr:rowOff>
        </xdr:from>
        <xdr:to>
          <xdr:col>6</xdr:col>
          <xdr:colOff>381000</xdr:colOff>
          <xdr:row>143</xdr:row>
          <xdr:rowOff>19050</xdr:rowOff>
        </xdr:to>
        <xdr:sp macro="" textlink="">
          <xdr:nvSpPr>
            <xdr:cNvPr id="4123" name="Object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132</xdr:row>
          <xdr:rowOff>0</xdr:rowOff>
        </xdr:from>
        <xdr:to>
          <xdr:col>12</xdr:col>
          <xdr:colOff>638175</xdr:colOff>
          <xdr:row>143</xdr:row>
          <xdr:rowOff>85725</xdr:rowOff>
        </xdr:to>
        <xdr:sp macro="" textlink="">
          <xdr:nvSpPr>
            <xdr:cNvPr id="4124" name="Object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131</xdr:row>
          <xdr:rowOff>161925</xdr:rowOff>
        </xdr:from>
        <xdr:to>
          <xdr:col>19</xdr:col>
          <xdr:colOff>476250</xdr:colOff>
          <xdr:row>144</xdr:row>
          <xdr:rowOff>66675</xdr:rowOff>
        </xdr:to>
        <xdr:sp macro="" textlink="">
          <xdr:nvSpPr>
            <xdr:cNvPr id="4125" name="Object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131</xdr:row>
          <xdr:rowOff>28575</xdr:rowOff>
        </xdr:from>
        <xdr:to>
          <xdr:col>26</xdr:col>
          <xdr:colOff>104775</xdr:colOff>
          <xdr:row>146</xdr:row>
          <xdr:rowOff>38100</xdr:rowOff>
        </xdr:to>
        <xdr:sp macro="" textlink="">
          <xdr:nvSpPr>
            <xdr:cNvPr id="4126" name="Object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112</xdr:row>
          <xdr:rowOff>66675</xdr:rowOff>
        </xdr:from>
        <xdr:to>
          <xdr:col>13</xdr:col>
          <xdr:colOff>866775</xdr:colOff>
          <xdr:row>127</xdr:row>
          <xdr:rowOff>123825</xdr:rowOff>
        </xdr:to>
        <xdr:sp macro="" textlink="">
          <xdr:nvSpPr>
            <xdr:cNvPr id="4127" name="Object 31"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112</xdr:row>
          <xdr:rowOff>66675</xdr:rowOff>
        </xdr:from>
        <xdr:to>
          <xdr:col>20</xdr:col>
          <xdr:colOff>685800</xdr:colOff>
          <xdr:row>127</xdr:row>
          <xdr:rowOff>123825</xdr:rowOff>
        </xdr:to>
        <xdr:sp macro="" textlink="">
          <xdr:nvSpPr>
            <xdr:cNvPr id="4128" name="Object 32"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371475</xdr:colOff>
          <xdr:row>112</xdr:row>
          <xdr:rowOff>66675</xdr:rowOff>
        </xdr:from>
        <xdr:to>
          <xdr:col>27</xdr:col>
          <xdr:colOff>438150</xdr:colOff>
          <xdr:row>127</xdr:row>
          <xdr:rowOff>123825</xdr:rowOff>
        </xdr:to>
        <xdr:sp macro="" textlink="">
          <xdr:nvSpPr>
            <xdr:cNvPr id="4129" name="Object 33"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323850</xdr:colOff>
      <xdr:row>34</xdr:row>
      <xdr:rowOff>161926</xdr:rowOff>
    </xdr:from>
    <xdr:to>
      <xdr:col>21</xdr:col>
      <xdr:colOff>552450</xdr:colOff>
      <xdr:row>40</xdr:row>
      <xdr:rowOff>76200</xdr:rowOff>
    </xdr:to>
    <xdr:sp macro="" textlink="">
      <xdr:nvSpPr>
        <xdr:cNvPr id="2" name="Rectangle: Rounded Corners 1">
          <a:extLst>
            <a:ext uri="{FF2B5EF4-FFF2-40B4-BE49-F238E27FC236}">
              <a16:creationId xmlns:a16="http://schemas.microsoft.com/office/drawing/2014/main" id="{00000000-0008-0000-0300-000002000000}"/>
            </a:ext>
          </a:extLst>
        </xdr:cNvPr>
        <xdr:cNvSpPr/>
      </xdr:nvSpPr>
      <xdr:spPr>
        <a:xfrm>
          <a:off x="12677775" y="6372226"/>
          <a:ext cx="3324225" cy="1285874"/>
        </a:xfrm>
        <a:prstGeom prst="roundRect">
          <a:avLst/>
        </a:prstGeom>
        <a:noFill/>
        <a:ln w="12700">
          <a:solidFill>
            <a:schemeClr val="tx1">
              <a:lumMod val="75000"/>
              <a:lumOff val="2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17</xdr:col>
      <xdr:colOff>304801</xdr:colOff>
      <xdr:row>46</xdr:row>
      <xdr:rowOff>219075</xdr:rowOff>
    </xdr:from>
    <xdr:to>
      <xdr:col>21</xdr:col>
      <xdr:colOff>200025</xdr:colOff>
      <xdr:row>52</xdr:row>
      <xdr:rowOff>47625</xdr:rowOff>
    </xdr:to>
    <xdr:sp macro="" textlink="">
      <xdr:nvSpPr>
        <xdr:cNvPr id="5" name="Rectangle: Rounded Corners 4">
          <a:extLst>
            <a:ext uri="{FF2B5EF4-FFF2-40B4-BE49-F238E27FC236}">
              <a16:creationId xmlns:a16="http://schemas.microsoft.com/office/drawing/2014/main" id="{00000000-0008-0000-0300-000005000000}"/>
            </a:ext>
          </a:extLst>
        </xdr:cNvPr>
        <xdr:cNvSpPr/>
      </xdr:nvSpPr>
      <xdr:spPr>
        <a:xfrm>
          <a:off x="12658726" y="9172575"/>
          <a:ext cx="2990849" cy="1200150"/>
        </a:xfrm>
        <a:prstGeom prst="roundRect">
          <a:avLst/>
        </a:prstGeom>
        <a:noFill/>
        <a:ln w="12700">
          <a:solidFill>
            <a:schemeClr val="tx1">
              <a:lumMod val="75000"/>
              <a:lumOff val="2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17</xdr:col>
      <xdr:colOff>413238</xdr:colOff>
      <xdr:row>36</xdr:row>
      <xdr:rowOff>151667</xdr:rowOff>
    </xdr:from>
    <xdr:to>
      <xdr:col>19</xdr:col>
      <xdr:colOff>103310</xdr:colOff>
      <xdr:row>37</xdr:row>
      <xdr:rowOff>189036</xdr:rowOff>
    </xdr:to>
    <xdr:sp macro="" textlink="">
      <xdr:nvSpPr>
        <xdr:cNvPr id="9" name="Callout: Bent Line with No Border 8">
          <a:extLst>
            <a:ext uri="{FF2B5EF4-FFF2-40B4-BE49-F238E27FC236}">
              <a16:creationId xmlns:a16="http://schemas.microsoft.com/office/drawing/2014/main" id="{00000000-0008-0000-0300-000009000000}"/>
            </a:ext>
          </a:extLst>
        </xdr:cNvPr>
        <xdr:cNvSpPr/>
      </xdr:nvSpPr>
      <xdr:spPr>
        <a:xfrm>
          <a:off x="12765972" y="5860714"/>
          <a:ext cx="1214072" cy="263588"/>
        </a:xfrm>
        <a:prstGeom prst="callout2">
          <a:avLst>
            <a:gd name="adj1" fmla="val -2625"/>
            <a:gd name="adj2" fmla="val -11617"/>
            <a:gd name="adj3" fmla="val -4691"/>
            <a:gd name="adj4" fmla="val -35143"/>
            <a:gd name="adj5" fmla="val 297555"/>
            <a:gd name="adj6" fmla="val -86492"/>
          </a:avLst>
        </a:prstGeom>
        <a:noFill/>
        <a:ln w="15875">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5</xdr:col>
      <xdr:colOff>348503</xdr:colOff>
      <xdr:row>20</xdr:row>
      <xdr:rowOff>100293</xdr:rowOff>
    </xdr:from>
    <xdr:to>
      <xdr:col>5</xdr:col>
      <xdr:colOff>704693</xdr:colOff>
      <xdr:row>22</xdr:row>
      <xdr:rowOff>56433</xdr:rowOff>
    </xdr:to>
    <xdr:pic>
      <xdr:nvPicPr>
        <xdr:cNvPr id="4" name="Graphic 3" descr="Badge 1 with solid fill">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48803" y="2481543"/>
          <a:ext cx="360000" cy="360000"/>
        </a:xfrm>
        <a:prstGeom prst="rect">
          <a:avLst/>
        </a:prstGeom>
      </xdr:spPr>
    </xdr:pic>
    <xdr:clientData/>
  </xdr:twoCellAnchor>
  <xdr:twoCellAnchor editAs="oneCell">
    <xdr:from>
      <xdr:col>17</xdr:col>
      <xdr:colOff>421743</xdr:colOff>
      <xdr:row>47</xdr:row>
      <xdr:rowOff>14409</xdr:rowOff>
    </xdr:from>
    <xdr:to>
      <xdr:col>18</xdr:col>
      <xdr:colOff>59748</xdr:colOff>
      <xdr:row>48</xdr:row>
      <xdr:rowOff>132474</xdr:rowOff>
    </xdr:to>
    <xdr:pic>
      <xdr:nvPicPr>
        <xdr:cNvPr id="11" name="Graphic 10" descr="Badge with solid fill">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337518" y="8501184"/>
          <a:ext cx="360000" cy="360000"/>
        </a:xfrm>
        <a:prstGeom prst="rect">
          <a:avLst/>
        </a:prstGeom>
      </xdr:spPr>
    </xdr:pic>
    <xdr:clientData/>
  </xdr:twoCellAnchor>
  <xdr:twoCellAnchor>
    <xdr:from>
      <xdr:col>5</xdr:col>
      <xdr:colOff>285750</xdr:colOff>
      <xdr:row>20</xdr:row>
      <xdr:rowOff>47626</xdr:rowOff>
    </xdr:from>
    <xdr:to>
      <xdr:col>13</xdr:col>
      <xdr:colOff>933451</xdr:colOff>
      <xdr:row>28</xdr:row>
      <xdr:rowOff>38101</xdr:rowOff>
    </xdr:to>
    <xdr:sp macro="" textlink="">
      <xdr:nvSpPr>
        <xdr:cNvPr id="3" name="Speech Bubble: Rectangle with Corners Rounded 2">
          <a:extLst>
            <a:ext uri="{FF2B5EF4-FFF2-40B4-BE49-F238E27FC236}">
              <a16:creationId xmlns:a16="http://schemas.microsoft.com/office/drawing/2014/main" id="{00000000-0008-0000-0300-000003000000}"/>
            </a:ext>
          </a:extLst>
        </xdr:cNvPr>
        <xdr:cNvSpPr/>
      </xdr:nvSpPr>
      <xdr:spPr>
        <a:xfrm>
          <a:off x="2924175" y="2428876"/>
          <a:ext cx="6724651" cy="1752600"/>
        </a:xfrm>
        <a:prstGeom prst="wedgeRoundRectCallout">
          <a:avLst>
            <a:gd name="adj1" fmla="val 21123"/>
            <a:gd name="adj2" fmla="val 74724"/>
            <a:gd name="adj3" fmla="val 16667"/>
          </a:avLst>
        </a:prstGeom>
        <a:noFill/>
        <a:ln w="12700">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14</xdr:col>
      <xdr:colOff>200025</xdr:colOff>
      <xdr:row>21</xdr:row>
      <xdr:rowOff>95250</xdr:rowOff>
    </xdr:from>
    <xdr:to>
      <xdr:col>23</xdr:col>
      <xdr:colOff>219074</xdr:colOff>
      <xdr:row>33</xdr:row>
      <xdr:rowOff>200025</xdr:rowOff>
    </xdr:to>
    <xdr:sp macro="" textlink="">
      <xdr:nvSpPr>
        <xdr:cNvPr id="7" name="Speech Bubble: Rectangle with Corners Rounded 6">
          <a:extLst>
            <a:ext uri="{FF2B5EF4-FFF2-40B4-BE49-F238E27FC236}">
              <a16:creationId xmlns:a16="http://schemas.microsoft.com/office/drawing/2014/main" id="{00000000-0008-0000-0300-000007000000}"/>
            </a:ext>
          </a:extLst>
        </xdr:cNvPr>
        <xdr:cNvSpPr/>
      </xdr:nvSpPr>
      <xdr:spPr>
        <a:xfrm>
          <a:off x="10277475" y="3333750"/>
          <a:ext cx="6819899" cy="2847975"/>
        </a:xfrm>
        <a:prstGeom prst="wedgeRoundRectCallout">
          <a:avLst>
            <a:gd name="adj1" fmla="val -22413"/>
            <a:gd name="adj2" fmla="val 59063"/>
            <a:gd name="adj3" fmla="val 16667"/>
          </a:avLst>
        </a:prstGeom>
        <a:noFill/>
        <a:ln w="12700">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14</xdr:col>
      <xdr:colOff>333375</xdr:colOff>
      <xdr:row>22</xdr:row>
      <xdr:rowOff>9525</xdr:rowOff>
    </xdr:from>
    <xdr:to>
      <xdr:col>14</xdr:col>
      <xdr:colOff>706710</xdr:colOff>
      <xdr:row>23</xdr:row>
      <xdr:rowOff>137115</xdr:rowOff>
    </xdr:to>
    <xdr:pic>
      <xdr:nvPicPr>
        <xdr:cNvPr id="14" name="Graphic 13" descr="Badge 4 with solid fill">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410825" y="3476625"/>
          <a:ext cx="360000" cy="360000"/>
        </a:xfrm>
        <a:prstGeom prst="rect">
          <a:avLst/>
        </a:prstGeom>
      </xdr:spPr>
    </xdr:pic>
    <xdr:clientData/>
  </xdr:twoCellAnchor>
  <xdr:twoCellAnchor editAs="oneCell">
    <xdr:from>
      <xdr:col>2</xdr:col>
      <xdr:colOff>323850</xdr:colOff>
      <xdr:row>29</xdr:row>
      <xdr:rowOff>19050</xdr:rowOff>
    </xdr:from>
    <xdr:to>
      <xdr:col>2</xdr:col>
      <xdr:colOff>683850</xdr:colOff>
      <xdr:row>30</xdr:row>
      <xdr:rowOff>150450</xdr:rowOff>
    </xdr:to>
    <xdr:pic>
      <xdr:nvPicPr>
        <xdr:cNvPr id="16" name="Graphic 15" descr="Badge 5 with solid fill">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38200" y="4391025"/>
          <a:ext cx="360000" cy="360000"/>
        </a:xfrm>
        <a:prstGeom prst="rect">
          <a:avLst/>
        </a:prstGeom>
      </xdr:spPr>
    </xdr:pic>
    <xdr:clientData/>
  </xdr:twoCellAnchor>
  <xdr:twoCellAnchor>
    <xdr:from>
      <xdr:col>2</xdr:col>
      <xdr:colOff>200025</xdr:colOff>
      <xdr:row>28</xdr:row>
      <xdr:rowOff>123825</xdr:rowOff>
    </xdr:from>
    <xdr:to>
      <xdr:col>9</xdr:col>
      <xdr:colOff>114300</xdr:colOff>
      <xdr:row>38</xdr:row>
      <xdr:rowOff>171451</xdr:rowOff>
    </xdr:to>
    <xdr:sp macro="" textlink="">
      <xdr:nvSpPr>
        <xdr:cNvPr id="12" name="Speech Bubble: Rectangle with Corners Rounded 11">
          <a:extLst>
            <a:ext uri="{FF2B5EF4-FFF2-40B4-BE49-F238E27FC236}">
              <a16:creationId xmlns:a16="http://schemas.microsoft.com/office/drawing/2014/main" id="{00000000-0008-0000-0300-00000C000000}"/>
            </a:ext>
          </a:extLst>
        </xdr:cNvPr>
        <xdr:cNvSpPr/>
      </xdr:nvSpPr>
      <xdr:spPr>
        <a:xfrm>
          <a:off x="714375" y="4267200"/>
          <a:ext cx="5305425" cy="2333626"/>
        </a:xfrm>
        <a:prstGeom prst="wedgeRoundRectCallout">
          <a:avLst>
            <a:gd name="adj1" fmla="val 15670"/>
            <a:gd name="adj2" fmla="val 60395"/>
            <a:gd name="adj3" fmla="val 16667"/>
          </a:avLst>
        </a:prstGeom>
        <a:noFill/>
        <a:ln w="12700">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oneCellAnchor>
    <xdr:from>
      <xdr:col>17</xdr:col>
      <xdr:colOff>357150</xdr:colOff>
      <xdr:row>34</xdr:row>
      <xdr:rowOff>195225</xdr:rowOff>
    </xdr:from>
    <xdr:ext cx="360000" cy="360000"/>
    <xdr:pic>
      <xdr:nvPicPr>
        <xdr:cNvPr id="15" name="Graphic 14" descr="Badge 3 with solid fill">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3701675" y="5481600"/>
          <a:ext cx="360000" cy="360000"/>
        </a:xfrm>
        <a:prstGeom prst="rect">
          <a:avLst/>
        </a:prstGeom>
      </xdr:spPr>
    </xdr:pic>
    <xdr:clientData/>
  </xdr:oneCellAnchor>
  <xdr:twoCellAnchor>
    <xdr:from>
      <xdr:col>17</xdr:col>
      <xdr:colOff>152401</xdr:colOff>
      <xdr:row>43</xdr:row>
      <xdr:rowOff>11905</xdr:rowOff>
    </xdr:from>
    <xdr:to>
      <xdr:col>18</xdr:col>
      <xdr:colOff>333376</xdr:colOff>
      <xdr:row>43</xdr:row>
      <xdr:rowOff>209549</xdr:rowOff>
    </xdr:to>
    <xdr:sp macro="" textlink="">
      <xdr:nvSpPr>
        <xdr:cNvPr id="17" name="Callout: Bent Line with No Border 16">
          <a:extLst>
            <a:ext uri="{FF2B5EF4-FFF2-40B4-BE49-F238E27FC236}">
              <a16:creationId xmlns:a16="http://schemas.microsoft.com/office/drawing/2014/main" id="{00000000-0008-0000-0300-000011000000}"/>
            </a:ext>
          </a:extLst>
        </xdr:cNvPr>
        <xdr:cNvSpPr/>
      </xdr:nvSpPr>
      <xdr:spPr>
        <a:xfrm>
          <a:off x="12502056" y="8308508"/>
          <a:ext cx="896992" cy="197644"/>
        </a:xfrm>
        <a:prstGeom prst="callout2">
          <a:avLst>
            <a:gd name="adj1" fmla="val 68807"/>
            <a:gd name="adj2" fmla="val 58880"/>
            <a:gd name="adj3" fmla="val 68180"/>
            <a:gd name="adj4" fmla="val 30882"/>
            <a:gd name="adj5" fmla="val 867333"/>
            <a:gd name="adj6" fmla="val -93455"/>
          </a:avLst>
        </a:prstGeom>
        <a:noFill/>
        <a:ln w="15875">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17</xdr:col>
      <xdr:colOff>400050</xdr:colOff>
      <xdr:row>46</xdr:row>
      <xdr:rowOff>219075</xdr:rowOff>
    </xdr:from>
    <xdr:to>
      <xdr:col>19</xdr:col>
      <xdr:colOff>561975</xdr:colOff>
      <xdr:row>52</xdr:row>
      <xdr:rowOff>76200</xdr:rowOff>
    </xdr:to>
    <xdr:sp macro="" textlink="">
      <xdr:nvSpPr>
        <xdr:cNvPr id="10" name="Callout: Double Bent Line with No Border 9">
          <a:extLst>
            <a:ext uri="{FF2B5EF4-FFF2-40B4-BE49-F238E27FC236}">
              <a16:creationId xmlns:a16="http://schemas.microsoft.com/office/drawing/2014/main" id="{00000000-0008-0000-0300-00000A000000}"/>
            </a:ext>
          </a:extLst>
        </xdr:cNvPr>
        <xdr:cNvSpPr/>
      </xdr:nvSpPr>
      <xdr:spPr>
        <a:xfrm>
          <a:off x="12753975" y="9172575"/>
          <a:ext cx="1685925" cy="1228725"/>
        </a:xfrm>
        <a:prstGeom prst="callout3">
          <a:avLst>
            <a:gd name="adj1" fmla="val 18750"/>
            <a:gd name="adj2" fmla="val -8333"/>
            <a:gd name="adj3" fmla="val 18750"/>
            <a:gd name="adj4" fmla="val -16667"/>
            <a:gd name="adj5" fmla="val 96124"/>
            <a:gd name="adj6" fmla="val -52260"/>
            <a:gd name="adj7" fmla="val 95909"/>
            <a:gd name="adj8" fmla="val -67656"/>
          </a:avLst>
        </a:prstGeom>
        <a:noFill/>
        <a:ln w="15875">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90</xdr:row>
          <xdr:rowOff>0</xdr:rowOff>
        </xdr:from>
        <xdr:to>
          <xdr:col>6</xdr:col>
          <xdr:colOff>371475</xdr:colOff>
          <xdr:row>104</xdr:row>
          <xdr:rowOff>133350</xdr:rowOff>
        </xdr:to>
        <xdr:sp macro="" textlink="">
          <xdr:nvSpPr>
            <xdr:cNvPr id="4189" name="Object 93" hidden="1">
              <a:extLst>
                <a:ext uri="{63B3BB69-23CF-44E3-9099-C40C66FF867C}">
                  <a14:compatExt spid="_x0000_s4189"/>
                </a:ext>
                <a:ext uri="{FF2B5EF4-FFF2-40B4-BE49-F238E27FC236}">
                  <a16:creationId xmlns:a16="http://schemas.microsoft.com/office/drawing/2014/main" id="{00000000-0008-0000-0300-00005D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90</xdr:row>
          <xdr:rowOff>0</xdr:rowOff>
        </xdr:from>
        <xdr:to>
          <xdr:col>13</xdr:col>
          <xdr:colOff>228600</xdr:colOff>
          <xdr:row>104</xdr:row>
          <xdr:rowOff>133350</xdr:rowOff>
        </xdr:to>
        <xdr:sp macro="" textlink="">
          <xdr:nvSpPr>
            <xdr:cNvPr id="4190" name="Object 94" hidden="1">
              <a:extLst>
                <a:ext uri="{63B3BB69-23CF-44E3-9099-C40C66FF867C}">
                  <a14:compatExt spid="_x0000_s4190"/>
                </a:ext>
                <a:ext uri="{FF2B5EF4-FFF2-40B4-BE49-F238E27FC236}">
                  <a16:creationId xmlns:a16="http://schemas.microsoft.com/office/drawing/2014/main" id="{00000000-0008-0000-0300-00005E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0</xdr:rowOff>
        </xdr:from>
        <xdr:to>
          <xdr:col>20</xdr:col>
          <xdr:colOff>590550</xdr:colOff>
          <xdr:row>104</xdr:row>
          <xdr:rowOff>133350</xdr:rowOff>
        </xdr:to>
        <xdr:sp macro="" textlink="">
          <xdr:nvSpPr>
            <xdr:cNvPr id="4191" name="Object 95" hidden="1">
              <a:extLst>
                <a:ext uri="{63B3BB69-23CF-44E3-9099-C40C66FF867C}">
                  <a14:compatExt spid="_x0000_s4191"/>
                </a:ext>
                <a:ext uri="{FF2B5EF4-FFF2-40B4-BE49-F238E27FC236}">
                  <a16:creationId xmlns:a16="http://schemas.microsoft.com/office/drawing/2014/main" id="{00000000-0008-0000-0300-00005F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657225</xdr:colOff>
          <xdr:row>90</xdr:row>
          <xdr:rowOff>19050</xdr:rowOff>
        </xdr:from>
        <xdr:to>
          <xdr:col>29</xdr:col>
          <xdr:colOff>476250</xdr:colOff>
          <xdr:row>104</xdr:row>
          <xdr:rowOff>152400</xdr:rowOff>
        </xdr:to>
        <xdr:sp macro="" textlink="">
          <xdr:nvSpPr>
            <xdr:cNvPr id="4192" name="Object 96" hidden="1">
              <a:extLst>
                <a:ext uri="{63B3BB69-23CF-44E3-9099-C40C66FF867C}">
                  <a14:compatExt spid="_x0000_s4192"/>
                </a:ext>
                <a:ext uri="{FF2B5EF4-FFF2-40B4-BE49-F238E27FC236}">
                  <a16:creationId xmlns:a16="http://schemas.microsoft.com/office/drawing/2014/main" id="{00000000-0008-0000-0300-000060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10</xdr:row>
          <xdr:rowOff>76200</xdr:rowOff>
        </xdr:from>
        <xdr:to>
          <xdr:col>22</xdr:col>
          <xdr:colOff>561975</xdr:colOff>
          <xdr:row>20</xdr:row>
          <xdr:rowOff>190500</xdr:rowOff>
        </xdr:to>
        <xdr:sp macro="" textlink="">
          <xdr:nvSpPr>
            <xdr:cNvPr id="8193" name="Group Box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12</xdr:row>
          <xdr:rowOff>76200</xdr:rowOff>
        </xdr:from>
        <xdr:to>
          <xdr:col>25</xdr:col>
          <xdr:colOff>0</xdr:colOff>
          <xdr:row>22</xdr:row>
          <xdr:rowOff>28575</xdr:rowOff>
        </xdr:to>
        <xdr:sp macro="" textlink="">
          <xdr:nvSpPr>
            <xdr:cNvPr id="8194" name="Object 1026"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190500</xdr:rowOff>
        </xdr:from>
        <xdr:to>
          <xdr:col>24</xdr:col>
          <xdr:colOff>666750</xdr:colOff>
          <xdr:row>33</xdr:row>
          <xdr:rowOff>190500</xdr:rowOff>
        </xdr:to>
        <xdr:sp macro="" textlink="">
          <xdr:nvSpPr>
            <xdr:cNvPr id="8198" name="Object 1030"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36</xdr:row>
          <xdr:rowOff>57150</xdr:rowOff>
        </xdr:from>
        <xdr:to>
          <xdr:col>18</xdr:col>
          <xdr:colOff>19050</xdr:colOff>
          <xdr:row>50</xdr:row>
          <xdr:rowOff>38100</xdr:rowOff>
        </xdr:to>
        <xdr:sp macro="" textlink="">
          <xdr:nvSpPr>
            <xdr:cNvPr id="8199" name="Object 1031"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6</xdr:row>
          <xdr:rowOff>76200</xdr:rowOff>
        </xdr:from>
        <xdr:to>
          <xdr:col>22</xdr:col>
          <xdr:colOff>142875</xdr:colOff>
          <xdr:row>16</xdr:row>
          <xdr:rowOff>161925</xdr:rowOff>
        </xdr:to>
        <xdr:sp macro="" textlink="">
          <xdr:nvSpPr>
            <xdr:cNvPr id="59393" name="Group Box 1" hidden="1">
              <a:extLst>
                <a:ext uri="{63B3BB69-23CF-44E3-9099-C40C66FF867C}">
                  <a14:compatExt spid="_x0000_s59393"/>
                </a:ext>
                <a:ext uri="{FF2B5EF4-FFF2-40B4-BE49-F238E27FC236}">
                  <a16:creationId xmlns:a16="http://schemas.microsoft.com/office/drawing/2014/main" id="{00000000-0008-0000-0500-000001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xdr:row>
          <xdr:rowOff>142875</xdr:rowOff>
        </xdr:from>
        <xdr:to>
          <xdr:col>23</xdr:col>
          <xdr:colOff>2152650</xdr:colOff>
          <xdr:row>19</xdr:row>
          <xdr:rowOff>19050</xdr:rowOff>
        </xdr:to>
        <xdr:sp macro="" textlink="">
          <xdr:nvSpPr>
            <xdr:cNvPr id="59396" name="Object 4" hidden="1">
              <a:extLst>
                <a:ext uri="{63B3BB69-23CF-44E3-9099-C40C66FF867C}">
                  <a14:compatExt spid="_x0000_s59396"/>
                </a:ext>
                <a:ext uri="{FF2B5EF4-FFF2-40B4-BE49-F238E27FC236}">
                  <a16:creationId xmlns:a16="http://schemas.microsoft.com/office/drawing/2014/main" id="{00000000-0008-0000-0500-000004E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17</xdr:row>
          <xdr:rowOff>38100</xdr:rowOff>
        </xdr:from>
        <xdr:to>
          <xdr:col>9</xdr:col>
          <xdr:colOff>400050</xdr:colOff>
          <xdr:row>26</xdr:row>
          <xdr:rowOff>142875</xdr:rowOff>
        </xdr:to>
        <xdr:sp macro="" textlink="">
          <xdr:nvSpPr>
            <xdr:cNvPr id="59410" name="Object 18" hidden="1">
              <a:extLst>
                <a:ext uri="{63B3BB69-23CF-44E3-9099-C40C66FF867C}">
                  <a14:compatExt spid="_x0000_s59410"/>
                </a:ext>
                <a:ext uri="{FF2B5EF4-FFF2-40B4-BE49-F238E27FC236}">
                  <a16:creationId xmlns:a16="http://schemas.microsoft.com/office/drawing/2014/main" id="{00000000-0008-0000-0500-000012E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85725</xdr:rowOff>
        </xdr:from>
        <xdr:to>
          <xdr:col>9</xdr:col>
          <xdr:colOff>361950</xdr:colOff>
          <xdr:row>38</xdr:row>
          <xdr:rowOff>180975</xdr:rowOff>
        </xdr:to>
        <xdr:sp macro="" textlink="">
          <xdr:nvSpPr>
            <xdr:cNvPr id="59411" name="Object 19" hidden="1">
              <a:extLst>
                <a:ext uri="{63B3BB69-23CF-44E3-9099-C40C66FF867C}">
                  <a14:compatExt spid="_x0000_s59411"/>
                </a:ext>
                <a:ext uri="{FF2B5EF4-FFF2-40B4-BE49-F238E27FC236}">
                  <a16:creationId xmlns:a16="http://schemas.microsoft.com/office/drawing/2014/main" id="{00000000-0008-0000-0500-000013E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746781</xdr:colOff>
          <xdr:row>35</xdr:row>
          <xdr:rowOff>7259</xdr:rowOff>
        </xdr:from>
        <xdr:to>
          <xdr:col>6</xdr:col>
          <xdr:colOff>486232</xdr:colOff>
          <xdr:row>48</xdr:row>
          <xdr:rowOff>156479</xdr:rowOff>
        </xdr:to>
        <xdr:pic>
          <xdr:nvPicPr>
            <xdr:cNvPr id="14" name="Picture 13">
              <a:extLst>
                <a:ext uri="{FF2B5EF4-FFF2-40B4-BE49-F238E27FC236}">
                  <a16:creationId xmlns:a16="http://schemas.microsoft.com/office/drawing/2014/main" id="{00000000-0008-0000-0600-00000E000000}"/>
                </a:ext>
              </a:extLst>
            </xdr:cNvPr>
            <xdr:cNvPicPr>
              <a:picLocks noChangeAspect="1"/>
              <a:extLst>
                <a:ext uri="{84589F7E-364E-4C9E-8A38-B11213B215E9}">
                  <a14:cameraTool cellRange="layout." spid="_x0000_s79572"/>
                </a:ext>
              </a:extLst>
            </xdr:cNvPicPr>
          </xdr:nvPicPr>
          <xdr:blipFill>
            <a:blip xmlns:r="http://schemas.openxmlformats.org/officeDocument/2006/relationships" r:embed="rId1"/>
            <a:stretch>
              <a:fillRect/>
            </a:stretch>
          </xdr:blipFill>
          <xdr:spPr>
            <a:xfrm>
              <a:off x="2575581" y="6350002"/>
              <a:ext cx="3571222" cy="2253791"/>
            </a:xfrm>
            <a:prstGeom prst="rect">
              <a:avLst/>
            </a:prstGeom>
          </xdr:spPr>
        </xdr:pic>
        <xdr:clientData/>
      </xdr:twoCellAnchor>
    </mc:Choice>
    <mc:Fallback/>
  </mc:AlternateContent>
  <xdr:twoCellAnchor editAs="oneCell">
    <xdr:from>
      <xdr:col>0</xdr:col>
      <xdr:colOff>8283</xdr:colOff>
      <xdr:row>0</xdr:row>
      <xdr:rowOff>55908</xdr:rowOff>
    </xdr:from>
    <xdr:to>
      <xdr:col>0</xdr:col>
      <xdr:colOff>1657268</xdr:colOff>
      <xdr:row>0</xdr:row>
      <xdr:rowOff>360389</xdr:rowOff>
    </xdr:to>
    <xdr:pic>
      <xdr:nvPicPr>
        <xdr:cNvPr id="18" name="Pictur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83" y="55908"/>
          <a:ext cx="1648985" cy="315911"/>
        </a:xfrm>
        <a:prstGeom prst="rect">
          <a:avLst/>
        </a:prstGeom>
      </xdr:spPr>
    </xdr:pic>
    <xdr:clientData/>
  </xdr:twoCellAnchor>
  <xdr:oneCellAnchor>
    <xdr:from>
      <xdr:col>7</xdr:col>
      <xdr:colOff>8283</xdr:colOff>
      <xdr:row>0</xdr:row>
      <xdr:rowOff>55908</xdr:rowOff>
    </xdr:from>
    <xdr:ext cx="1648985" cy="315911"/>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83" y="55908"/>
          <a:ext cx="1648985" cy="31591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7</xdr:col>
          <xdr:colOff>92908</xdr:colOff>
          <xdr:row>3</xdr:row>
          <xdr:rowOff>43543</xdr:rowOff>
        </xdr:from>
        <xdr:to>
          <xdr:col>15</xdr:col>
          <xdr:colOff>641121</xdr:colOff>
          <xdr:row>13</xdr:row>
          <xdr:rowOff>26942</xdr:rowOff>
        </xdr:to>
        <xdr:pic>
          <xdr:nvPicPr>
            <xdr:cNvPr id="4" name="Graphic 3" descr="Image outline">
              <a:extLst>
                <a:ext uri="{FF2B5EF4-FFF2-40B4-BE49-F238E27FC236}">
                  <a16:creationId xmlns:a16="http://schemas.microsoft.com/office/drawing/2014/main" id="{00000000-0008-0000-0600-000004000000}"/>
                </a:ext>
              </a:extLst>
            </xdr:cNvPr>
            <xdr:cNvPicPr>
              <a:picLocks/>
              <a:extLst>
                <a:ext uri="{84589F7E-364E-4C9E-8A38-B11213B215E9}">
                  <a14:cameraTool cellRange="_SelectedBoxDiagram" spid="_x0000_s79573"/>
                </a:ext>
              </a:extLst>
            </xdr:cNvPicPr>
          </xdr:nvPicPr>
          <xdr:blipFill>
            <a:blip xmlns:r="http://schemas.openxmlformats.org/officeDocument/2006/relationships" r:embed="rId3"/>
            <a:stretch>
              <a:fillRect/>
            </a:stretch>
          </xdr:blipFill>
          <xdr:spPr>
            <a:xfrm>
              <a:off x="6303208" y="824593"/>
              <a:ext cx="6110813" cy="1793149"/>
            </a:xfrm>
            <a:prstGeom prst="rect">
              <a:avLst/>
            </a:prstGeom>
          </xdr:spPr>
        </xdr:pic>
        <xdr:clientData/>
      </xdr:twoCellAnchor>
    </mc:Choice>
    <mc:Fallback/>
  </mc:AlternateContent>
  <xdr:twoCellAnchor editAs="oneCell">
    <xdr:from>
      <xdr:col>4</xdr:col>
      <xdr:colOff>447674</xdr:colOff>
      <xdr:row>0</xdr:row>
      <xdr:rowOff>323850</xdr:rowOff>
    </xdr:from>
    <xdr:to>
      <xdr:col>6</xdr:col>
      <xdr:colOff>190499</xdr:colOff>
      <xdr:row>11</xdr:row>
      <xdr:rowOff>93345</xdr:rowOff>
    </xdr:to>
    <xdr:pic>
      <xdr:nvPicPr>
        <xdr:cNvPr id="6" name="Pictur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638549" y="323850"/>
          <a:ext cx="2009775" cy="20097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6</xdr:row>
          <xdr:rowOff>171450</xdr:rowOff>
        </xdr:from>
        <xdr:to>
          <xdr:col>5</xdr:col>
          <xdr:colOff>581025</xdr:colOff>
          <xdr:row>7</xdr:row>
          <xdr:rowOff>228600</xdr:rowOff>
        </xdr:to>
        <xdr:sp macro="" textlink="">
          <xdr:nvSpPr>
            <xdr:cNvPr id="25601" name="Option Button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28575</xdr:rowOff>
        </xdr:from>
        <xdr:to>
          <xdr:col>5</xdr:col>
          <xdr:colOff>561975</xdr:colOff>
          <xdr:row>8</xdr:row>
          <xdr:rowOff>190500</xdr:rowOff>
        </xdr:to>
        <xdr:sp macro="" textlink="">
          <xdr:nvSpPr>
            <xdr:cNvPr id="25602" name="Option Button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149161</xdr:colOff>
      <xdr:row>27</xdr:row>
      <xdr:rowOff>167469</xdr:rowOff>
    </xdr:from>
    <xdr:to>
      <xdr:col>12</xdr:col>
      <xdr:colOff>408643</xdr:colOff>
      <xdr:row>43</xdr:row>
      <xdr:rowOff>87660</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298888</xdr:colOff>
      <xdr:row>28</xdr:row>
      <xdr:rowOff>96564</xdr:rowOff>
    </xdr:from>
    <xdr:to>
      <xdr:col>18</xdr:col>
      <xdr:colOff>594492</xdr:colOff>
      <xdr:row>41</xdr:row>
      <xdr:rowOff>113643</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xdr:row>
          <xdr:rowOff>19050</xdr:rowOff>
        </xdr:from>
        <xdr:to>
          <xdr:col>1</xdr:col>
          <xdr:colOff>7905750</xdr:colOff>
          <xdr:row>4</xdr:row>
          <xdr:rowOff>2295525</xdr:rowOff>
        </xdr:to>
        <xdr:sp macro="" textlink="">
          <xdr:nvSpPr>
            <xdr:cNvPr id="15373" name="Object 1037" hidden="1">
              <a:extLst>
                <a:ext uri="{63B3BB69-23CF-44E3-9099-C40C66FF867C}">
                  <a14:compatExt spid="_x0000_s15373"/>
                </a:ext>
                <a:ext uri="{FF2B5EF4-FFF2-40B4-BE49-F238E27FC236}">
                  <a16:creationId xmlns:a16="http://schemas.microsoft.com/office/drawing/2014/main" id="{00000000-0008-0000-0900-00000D3C00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xdr:row>
          <xdr:rowOff>47625</xdr:rowOff>
        </xdr:from>
        <xdr:to>
          <xdr:col>1</xdr:col>
          <xdr:colOff>7905750</xdr:colOff>
          <xdr:row>3</xdr:row>
          <xdr:rowOff>2333625</xdr:rowOff>
        </xdr:to>
        <xdr:sp macro="" textlink="">
          <xdr:nvSpPr>
            <xdr:cNvPr id="15375" name="Object 1039" hidden="1">
              <a:extLst>
                <a:ext uri="{63B3BB69-23CF-44E3-9099-C40C66FF867C}">
                  <a14:compatExt spid="_x0000_s15375"/>
                </a:ext>
                <a:ext uri="{FF2B5EF4-FFF2-40B4-BE49-F238E27FC236}">
                  <a16:creationId xmlns:a16="http://schemas.microsoft.com/office/drawing/2014/main" id="{00000000-0008-0000-0900-00000F3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xdr:rowOff>
        </xdr:from>
        <xdr:to>
          <xdr:col>1</xdr:col>
          <xdr:colOff>7867650</xdr:colOff>
          <xdr:row>6</xdr:row>
          <xdr:rowOff>2295525</xdr:rowOff>
        </xdr:to>
        <xdr:sp macro="" textlink="">
          <xdr:nvSpPr>
            <xdr:cNvPr id="15377" name="Object 1041" hidden="1">
              <a:extLst>
                <a:ext uri="{63B3BB69-23CF-44E3-9099-C40C66FF867C}">
                  <a14:compatExt spid="_x0000_s15377"/>
                </a:ext>
                <a:ext uri="{FF2B5EF4-FFF2-40B4-BE49-F238E27FC236}">
                  <a16:creationId xmlns:a16="http://schemas.microsoft.com/office/drawing/2014/main" id="{00000000-0008-0000-0900-0000113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3</xdr:row>
          <xdr:rowOff>28575</xdr:rowOff>
        </xdr:from>
        <xdr:to>
          <xdr:col>0</xdr:col>
          <xdr:colOff>438150</xdr:colOff>
          <xdr:row>3</xdr:row>
          <xdr:rowOff>438150</xdr:rowOff>
        </xdr:to>
        <xdr:sp macro="" textlink="">
          <xdr:nvSpPr>
            <xdr:cNvPr id="20719" name="Object 239" hidden="1">
              <a:extLst>
                <a:ext uri="{63B3BB69-23CF-44E3-9099-C40C66FF867C}">
                  <a14:compatExt spid="_x0000_s20719"/>
                </a:ext>
                <a:ext uri="{FF2B5EF4-FFF2-40B4-BE49-F238E27FC236}">
                  <a16:creationId xmlns:a16="http://schemas.microsoft.com/office/drawing/2014/main" id="{00000000-0008-0000-0A00-0000E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28575</xdr:rowOff>
        </xdr:from>
        <xdr:to>
          <xdr:col>0</xdr:col>
          <xdr:colOff>485775</xdr:colOff>
          <xdr:row>5</xdr:row>
          <xdr:rowOff>438150</xdr:rowOff>
        </xdr:to>
        <xdr:sp macro="" textlink="">
          <xdr:nvSpPr>
            <xdr:cNvPr id="20723" name="Object 243" hidden="1">
              <a:extLst>
                <a:ext uri="{63B3BB69-23CF-44E3-9099-C40C66FF867C}">
                  <a14:compatExt spid="_x0000_s20723"/>
                </a:ext>
                <a:ext uri="{FF2B5EF4-FFF2-40B4-BE49-F238E27FC236}">
                  <a16:creationId xmlns:a16="http://schemas.microsoft.com/office/drawing/2014/main" id="{00000000-0008-0000-0A00-0000F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0</xdr:col>
          <xdr:colOff>447675</xdr:colOff>
          <xdr:row>6</xdr:row>
          <xdr:rowOff>447675</xdr:rowOff>
        </xdr:to>
        <xdr:sp macro="" textlink="">
          <xdr:nvSpPr>
            <xdr:cNvPr id="20724" name="Object 244" hidden="1">
              <a:extLst>
                <a:ext uri="{63B3BB69-23CF-44E3-9099-C40C66FF867C}">
                  <a14:compatExt spid="_x0000_s20724"/>
                </a:ext>
                <a:ext uri="{FF2B5EF4-FFF2-40B4-BE49-F238E27FC236}">
                  <a16:creationId xmlns:a16="http://schemas.microsoft.com/office/drawing/2014/main" id="{00000000-0008-0000-0A00-0000F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19050</xdr:rowOff>
        </xdr:from>
        <xdr:to>
          <xdr:col>0</xdr:col>
          <xdr:colOff>447675</xdr:colOff>
          <xdr:row>4</xdr:row>
          <xdr:rowOff>438150</xdr:rowOff>
        </xdr:to>
        <xdr:sp macro="" textlink="">
          <xdr:nvSpPr>
            <xdr:cNvPr id="20725" name="Object 245" hidden="1">
              <a:extLst>
                <a:ext uri="{63B3BB69-23CF-44E3-9099-C40C66FF867C}">
                  <a14:compatExt spid="_x0000_s20725"/>
                </a:ext>
                <a:ext uri="{FF2B5EF4-FFF2-40B4-BE49-F238E27FC236}">
                  <a16:creationId xmlns:a16="http://schemas.microsoft.com/office/drawing/2014/main" id="{00000000-0008-0000-0A00-0000F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9525</xdr:rowOff>
        </xdr:to>
        <xdr:sp macro="" textlink="">
          <xdr:nvSpPr>
            <xdr:cNvPr id="20766" name="Object 1310" hidden="1">
              <a:extLst>
                <a:ext uri="{63B3BB69-23CF-44E3-9099-C40C66FF867C}">
                  <a14:compatExt spid="_x0000_s20766"/>
                </a:ext>
                <a:ext uri="{FF2B5EF4-FFF2-40B4-BE49-F238E27FC236}">
                  <a16:creationId xmlns:a16="http://schemas.microsoft.com/office/drawing/2014/main" id="{00000000-0008-0000-0A00-00001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9525</xdr:colOff>
          <xdr:row>10</xdr:row>
          <xdr:rowOff>0</xdr:rowOff>
        </xdr:to>
        <xdr:sp macro="" textlink="">
          <xdr:nvSpPr>
            <xdr:cNvPr id="20771" name="Object 1315" hidden="1">
              <a:extLst>
                <a:ext uri="{63B3BB69-23CF-44E3-9099-C40C66FF867C}">
                  <a14:compatExt spid="_x0000_s20771"/>
                </a:ext>
                <a:ext uri="{FF2B5EF4-FFF2-40B4-BE49-F238E27FC236}">
                  <a16:creationId xmlns:a16="http://schemas.microsoft.com/office/drawing/2014/main" id="{00000000-0008-0000-0A00-00002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19050</xdr:colOff>
          <xdr:row>11</xdr:row>
          <xdr:rowOff>0</xdr:rowOff>
        </xdr:to>
        <xdr:sp macro="" textlink="">
          <xdr:nvSpPr>
            <xdr:cNvPr id="20772" name="Object 1316" hidden="1">
              <a:extLst>
                <a:ext uri="{63B3BB69-23CF-44E3-9099-C40C66FF867C}">
                  <a14:compatExt spid="_x0000_s20772"/>
                </a:ext>
                <a:ext uri="{FF2B5EF4-FFF2-40B4-BE49-F238E27FC236}">
                  <a16:creationId xmlns:a16="http://schemas.microsoft.com/office/drawing/2014/main" id="{00000000-0008-0000-0A00-00002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9525</xdr:colOff>
          <xdr:row>12</xdr:row>
          <xdr:rowOff>0</xdr:rowOff>
        </xdr:to>
        <xdr:sp macro="" textlink="">
          <xdr:nvSpPr>
            <xdr:cNvPr id="20773" name="Object 1317" hidden="1">
              <a:extLst>
                <a:ext uri="{63B3BB69-23CF-44E3-9099-C40C66FF867C}">
                  <a14:compatExt spid="_x0000_s20773"/>
                </a:ext>
                <a:ext uri="{FF2B5EF4-FFF2-40B4-BE49-F238E27FC236}">
                  <a16:creationId xmlns:a16="http://schemas.microsoft.com/office/drawing/2014/main" id="{00000000-0008-0000-0A00-00002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9" Type="http://schemas.openxmlformats.org/officeDocument/2006/relationships/ctrlProp" Target="../ctrlProps/ctrlProp34.xml"/><Relationship Id="rId21" Type="http://schemas.openxmlformats.org/officeDocument/2006/relationships/ctrlProp" Target="../ctrlProps/ctrlProp16.xml"/><Relationship Id="rId34" Type="http://schemas.openxmlformats.org/officeDocument/2006/relationships/ctrlProp" Target="../ctrlProps/ctrlProp29.xml"/><Relationship Id="rId42" Type="http://schemas.openxmlformats.org/officeDocument/2006/relationships/ctrlProp" Target="../ctrlProps/ctrlProp37.xml"/><Relationship Id="rId47" Type="http://schemas.openxmlformats.org/officeDocument/2006/relationships/ctrlProp" Target="../ctrlProps/ctrlProp42.xml"/><Relationship Id="rId50" Type="http://schemas.openxmlformats.org/officeDocument/2006/relationships/ctrlProp" Target="../ctrlProps/ctrlProp45.xml"/><Relationship Id="rId55" Type="http://schemas.openxmlformats.org/officeDocument/2006/relationships/ctrlProp" Target="../ctrlProps/ctrlProp50.xml"/><Relationship Id="rId7" Type="http://schemas.openxmlformats.org/officeDocument/2006/relationships/ctrlProp" Target="../ctrlProps/ctrlProp2.xml"/><Relationship Id="rId2" Type="http://schemas.openxmlformats.org/officeDocument/2006/relationships/hyperlink" Target="https://smartemp.com/products/smartemp-hsc-vs" TargetMode="External"/><Relationship Id="rId16" Type="http://schemas.openxmlformats.org/officeDocument/2006/relationships/ctrlProp" Target="../ctrlProps/ctrlProp11.xml"/><Relationship Id="rId29" Type="http://schemas.openxmlformats.org/officeDocument/2006/relationships/ctrlProp" Target="../ctrlProps/ctrlProp24.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40" Type="http://schemas.openxmlformats.org/officeDocument/2006/relationships/ctrlProp" Target="../ctrlProps/ctrlProp35.xml"/><Relationship Id="rId45" Type="http://schemas.openxmlformats.org/officeDocument/2006/relationships/ctrlProp" Target="../ctrlProps/ctrlProp40.xml"/><Relationship Id="rId53" Type="http://schemas.openxmlformats.org/officeDocument/2006/relationships/ctrlProp" Target="../ctrlProps/ctrlProp48.xml"/><Relationship Id="rId5" Type="http://schemas.openxmlformats.org/officeDocument/2006/relationships/vmlDrawing" Target="../drawings/vmlDrawing1.v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43" Type="http://schemas.openxmlformats.org/officeDocument/2006/relationships/ctrlProp" Target="../ctrlProps/ctrlProp38.xml"/><Relationship Id="rId48" Type="http://schemas.openxmlformats.org/officeDocument/2006/relationships/ctrlProp" Target="../ctrlProps/ctrlProp43.xml"/><Relationship Id="rId56" Type="http://schemas.openxmlformats.org/officeDocument/2006/relationships/ctrlProp" Target="../ctrlProps/ctrlProp51.xml"/><Relationship Id="rId8" Type="http://schemas.openxmlformats.org/officeDocument/2006/relationships/ctrlProp" Target="../ctrlProps/ctrlProp3.xml"/><Relationship Id="rId51" Type="http://schemas.openxmlformats.org/officeDocument/2006/relationships/ctrlProp" Target="../ctrlProps/ctrlProp46.xml"/><Relationship Id="rId3" Type="http://schemas.openxmlformats.org/officeDocument/2006/relationships/printerSettings" Target="../printerSettings/printerSettings1.bin"/><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 Id="rId46" Type="http://schemas.openxmlformats.org/officeDocument/2006/relationships/ctrlProp" Target="../ctrlProps/ctrlProp41.xml"/><Relationship Id="rId20" Type="http://schemas.openxmlformats.org/officeDocument/2006/relationships/ctrlProp" Target="../ctrlProps/ctrlProp15.xml"/><Relationship Id="rId41" Type="http://schemas.openxmlformats.org/officeDocument/2006/relationships/ctrlProp" Target="../ctrlProps/ctrlProp36.xml"/><Relationship Id="rId54" Type="http://schemas.openxmlformats.org/officeDocument/2006/relationships/ctrlProp" Target="../ctrlProps/ctrlProp49.xml"/><Relationship Id="rId1" Type="http://schemas.openxmlformats.org/officeDocument/2006/relationships/hyperlink" Target="http://www.smartair.asia/product/86" TargetMode="External"/><Relationship Id="rId6" Type="http://schemas.openxmlformats.org/officeDocument/2006/relationships/ctrlProp" Target="../ctrlProps/ctrlProp1.x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s>
</file>

<file path=xl/worksheets/_rels/sheet10.xml.rels><?xml version="1.0" encoding="UTF-8" standalone="yes"?>
<Relationships xmlns="http://schemas.openxmlformats.org/package/2006/relationships"><Relationship Id="rId8" Type="http://schemas.openxmlformats.org/officeDocument/2006/relationships/package" Target="../embeddings/Microsoft_Visio_Drawing23.vsdx"/><Relationship Id="rId3" Type="http://schemas.openxmlformats.org/officeDocument/2006/relationships/vmlDrawing" Target="../drawings/vmlDrawing7.vml"/><Relationship Id="rId7" Type="http://schemas.openxmlformats.org/officeDocument/2006/relationships/image" Target="../media/image43.emf"/><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package" Target="../embeddings/Microsoft_Visio_Drawing22.vsdx"/><Relationship Id="rId5" Type="http://schemas.openxmlformats.org/officeDocument/2006/relationships/image" Target="../media/image42.emf"/><Relationship Id="rId4" Type="http://schemas.openxmlformats.org/officeDocument/2006/relationships/package" Target="../embeddings/Microsoft_Visio_Drawing21.vsdx"/><Relationship Id="rId9" Type="http://schemas.openxmlformats.org/officeDocument/2006/relationships/image" Target="../media/image44.emf"/></Relationships>
</file>

<file path=xl/worksheets/_rels/sheet11.xml.rels><?xml version="1.0" encoding="UTF-8" standalone="yes"?>
<Relationships xmlns="http://schemas.openxmlformats.org/package/2006/relationships"><Relationship Id="rId8" Type="http://schemas.openxmlformats.org/officeDocument/2006/relationships/image" Target="../media/image47.emf"/><Relationship Id="rId13" Type="http://schemas.openxmlformats.org/officeDocument/2006/relationships/package" Target="../embeddings/Microsoft_Visio_Drawing29.vsdx"/><Relationship Id="rId18" Type="http://schemas.openxmlformats.org/officeDocument/2006/relationships/image" Target="../media/image51.emf"/><Relationship Id="rId3" Type="http://schemas.openxmlformats.org/officeDocument/2006/relationships/package" Target="../embeddings/Microsoft_Visio_Drawing24.vsdx"/><Relationship Id="rId7" Type="http://schemas.openxmlformats.org/officeDocument/2006/relationships/package" Target="../embeddings/Microsoft_Visio_Drawing26.vsdx"/><Relationship Id="rId12" Type="http://schemas.openxmlformats.org/officeDocument/2006/relationships/image" Target="../media/image9.emf"/><Relationship Id="rId17" Type="http://schemas.openxmlformats.org/officeDocument/2006/relationships/package" Target="../embeddings/Microsoft_Visio_Drawing31.vsdx"/><Relationship Id="rId2" Type="http://schemas.openxmlformats.org/officeDocument/2006/relationships/vmlDrawing" Target="../drawings/vmlDrawing8.vml"/><Relationship Id="rId16" Type="http://schemas.openxmlformats.org/officeDocument/2006/relationships/image" Target="../media/image50.emf"/><Relationship Id="rId1" Type="http://schemas.openxmlformats.org/officeDocument/2006/relationships/drawing" Target="../drawings/drawing9.xml"/><Relationship Id="rId6" Type="http://schemas.openxmlformats.org/officeDocument/2006/relationships/image" Target="../media/image46.emf"/><Relationship Id="rId11" Type="http://schemas.openxmlformats.org/officeDocument/2006/relationships/package" Target="../embeddings/Microsoft_Visio_Drawing28.vsdx"/><Relationship Id="rId5" Type="http://schemas.openxmlformats.org/officeDocument/2006/relationships/package" Target="../embeddings/Microsoft_Visio_Drawing25.vsdx"/><Relationship Id="rId15" Type="http://schemas.openxmlformats.org/officeDocument/2006/relationships/package" Target="../embeddings/Microsoft_Visio_Drawing30.vsdx"/><Relationship Id="rId10" Type="http://schemas.openxmlformats.org/officeDocument/2006/relationships/image" Target="../media/image48.emf"/><Relationship Id="rId4" Type="http://schemas.openxmlformats.org/officeDocument/2006/relationships/image" Target="../media/image45.emf"/><Relationship Id="rId9" Type="http://schemas.openxmlformats.org/officeDocument/2006/relationships/package" Target="../embeddings/Microsoft_Visio_Drawing27.vsdx"/><Relationship Id="rId14" Type="http://schemas.openxmlformats.org/officeDocument/2006/relationships/image" Target="../media/image49.emf"/></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rutt.arup.com/help/Mechanical_Services/DamperRegen.htm" TargetMode="External"/><Relationship Id="rId1" Type="http://schemas.openxmlformats.org/officeDocument/2006/relationships/hyperlink" Target="https://www.aivc.org/sites/default/files/members_area/medias/pdf/CR/CR02_Flow_generated_noise.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image" Target="../media/image11.emf"/><Relationship Id="rId18" Type="http://schemas.openxmlformats.org/officeDocument/2006/relationships/package" Target="../embeddings/Microsoft_Visio_Drawing7.vsdx"/><Relationship Id="rId26" Type="http://schemas.openxmlformats.org/officeDocument/2006/relationships/package" Target="../embeddings/Microsoft_Visio_Drawing11.vsdx"/><Relationship Id="rId3" Type="http://schemas.openxmlformats.org/officeDocument/2006/relationships/vmlDrawing" Target="../drawings/vmlDrawing2.vml"/><Relationship Id="rId21" Type="http://schemas.openxmlformats.org/officeDocument/2006/relationships/image" Target="../media/image15.emf"/><Relationship Id="rId7" Type="http://schemas.openxmlformats.org/officeDocument/2006/relationships/image" Target="../media/image8.emf"/><Relationship Id="rId12" Type="http://schemas.openxmlformats.org/officeDocument/2006/relationships/package" Target="../embeddings/Microsoft_Visio_Drawing4.vsdx"/><Relationship Id="rId17" Type="http://schemas.openxmlformats.org/officeDocument/2006/relationships/image" Target="../media/image13.emf"/><Relationship Id="rId25" Type="http://schemas.openxmlformats.org/officeDocument/2006/relationships/image" Target="../media/image17.emf"/><Relationship Id="rId33" Type="http://schemas.openxmlformats.org/officeDocument/2006/relationships/image" Target="../media/image21.emf"/><Relationship Id="rId2" Type="http://schemas.openxmlformats.org/officeDocument/2006/relationships/drawing" Target="../drawings/drawing3.xml"/><Relationship Id="rId16" Type="http://schemas.openxmlformats.org/officeDocument/2006/relationships/package" Target="../embeddings/Microsoft_Visio_Drawing6.vsdx"/><Relationship Id="rId20" Type="http://schemas.openxmlformats.org/officeDocument/2006/relationships/package" Target="../embeddings/Microsoft_Visio_Drawing8.vsdx"/><Relationship Id="rId29" Type="http://schemas.openxmlformats.org/officeDocument/2006/relationships/image" Target="../media/image19.emf"/><Relationship Id="rId1" Type="http://schemas.openxmlformats.org/officeDocument/2006/relationships/printerSettings" Target="../printerSettings/printerSettings4.bin"/><Relationship Id="rId6" Type="http://schemas.openxmlformats.org/officeDocument/2006/relationships/package" Target="../embeddings/Microsoft_Visio_Drawing1.vsdx"/><Relationship Id="rId11" Type="http://schemas.openxmlformats.org/officeDocument/2006/relationships/image" Target="../media/image10.emf"/><Relationship Id="rId24" Type="http://schemas.openxmlformats.org/officeDocument/2006/relationships/package" Target="../embeddings/Microsoft_Visio_Drawing10.vsdx"/><Relationship Id="rId32" Type="http://schemas.openxmlformats.org/officeDocument/2006/relationships/package" Target="../embeddings/Microsoft_Visio_Drawing14.vsdx"/><Relationship Id="rId5" Type="http://schemas.openxmlformats.org/officeDocument/2006/relationships/image" Target="../media/image7.emf"/><Relationship Id="rId15" Type="http://schemas.openxmlformats.org/officeDocument/2006/relationships/image" Target="../media/image12.emf"/><Relationship Id="rId23" Type="http://schemas.openxmlformats.org/officeDocument/2006/relationships/image" Target="../media/image16.emf"/><Relationship Id="rId28" Type="http://schemas.openxmlformats.org/officeDocument/2006/relationships/package" Target="../embeddings/Microsoft_Visio_Drawing12.vsdx"/><Relationship Id="rId10" Type="http://schemas.openxmlformats.org/officeDocument/2006/relationships/package" Target="../embeddings/Microsoft_Visio_Drawing3.vsdx"/><Relationship Id="rId19" Type="http://schemas.openxmlformats.org/officeDocument/2006/relationships/image" Target="../media/image14.emf"/><Relationship Id="rId31" Type="http://schemas.openxmlformats.org/officeDocument/2006/relationships/image" Target="../media/image20.emf"/><Relationship Id="rId4" Type="http://schemas.openxmlformats.org/officeDocument/2006/relationships/package" Target="../embeddings/Microsoft_Visio_Drawing.vsdx"/><Relationship Id="rId9" Type="http://schemas.openxmlformats.org/officeDocument/2006/relationships/image" Target="../media/image9.emf"/><Relationship Id="rId14" Type="http://schemas.openxmlformats.org/officeDocument/2006/relationships/package" Target="../embeddings/Microsoft_Visio_Drawing5.vsdx"/><Relationship Id="rId22" Type="http://schemas.openxmlformats.org/officeDocument/2006/relationships/package" Target="../embeddings/Microsoft_Visio_Drawing9.vsdx"/><Relationship Id="rId27" Type="http://schemas.openxmlformats.org/officeDocument/2006/relationships/image" Target="../media/image18.emf"/><Relationship Id="rId30" Type="http://schemas.openxmlformats.org/officeDocument/2006/relationships/package" Target="../embeddings/Microsoft_Visio_Drawing13.vsdx"/><Relationship Id="rId8" Type="http://schemas.openxmlformats.org/officeDocument/2006/relationships/package" Target="../embeddings/Microsoft_Visio_Drawing2.vsdx"/></Relationships>
</file>

<file path=xl/worksheets/_rels/sheet5.xml.rels><?xml version="1.0" encoding="UTF-8" standalone="yes"?>
<Relationships xmlns="http://schemas.openxmlformats.org/package/2006/relationships"><Relationship Id="rId8" Type="http://schemas.openxmlformats.org/officeDocument/2006/relationships/package" Target="../embeddings/Microsoft_Visio_Drawing17.vsdx"/><Relationship Id="rId3" Type="http://schemas.openxmlformats.org/officeDocument/2006/relationships/vmlDrawing" Target="../drawings/vmlDrawing3.vml"/><Relationship Id="rId7" Type="http://schemas.openxmlformats.org/officeDocument/2006/relationships/image" Target="../media/image33.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package" Target="../embeddings/Microsoft_Visio_Drawing16.vsdx"/><Relationship Id="rId5" Type="http://schemas.openxmlformats.org/officeDocument/2006/relationships/image" Target="../media/image32.emf"/><Relationship Id="rId10" Type="http://schemas.openxmlformats.org/officeDocument/2006/relationships/ctrlProp" Target="../ctrlProps/ctrlProp52.xml"/><Relationship Id="rId4" Type="http://schemas.openxmlformats.org/officeDocument/2006/relationships/package" Target="../embeddings/Microsoft_Visio_Drawing15.vsdx"/><Relationship Id="rId9" Type="http://schemas.openxmlformats.org/officeDocument/2006/relationships/image" Target="../media/image34.emf"/></Relationships>
</file>

<file path=xl/worksheets/_rels/sheet6.xml.rels><?xml version="1.0" encoding="UTF-8" standalone="yes"?>
<Relationships xmlns="http://schemas.openxmlformats.org/package/2006/relationships"><Relationship Id="rId8" Type="http://schemas.openxmlformats.org/officeDocument/2006/relationships/package" Target="../embeddings/Microsoft_Visio_Drawing20.vsdx"/><Relationship Id="rId3" Type="http://schemas.openxmlformats.org/officeDocument/2006/relationships/vmlDrawing" Target="../drawings/vmlDrawing4.vml"/><Relationship Id="rId7" Type="http://schemas.openxmlformats.org/officeDocument/2006/relationships/image" Target="../media/image36.emf"/><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package" Target="../embeddings/Microsoft_Visio_Drawing19.vsdx"/><Relationship Id="rId5" Type="http://schemas.openxmlformats.org/officeDocument/2006/relationships/image" Target="../media/image35.emf"/><Relationship Id="rId10" Type="http://schemas.openxmlformats.org/officeDocument/2006/relationships/ctrlProp" Target="../ctrlProps/ctrlProp53.xml"/><Relationship Id="rId4" Type="http://schemas.openxmlformats.org/officeDocument/2006/relationships/package" Target="../embeddings/Microsoft_Visio_Drawing18.vsdx"/><Relationship Id="rId9" Type="http://schemas.openxmlformats.org/officeDocument/2006/relationships/image" Target="../media/image37.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54.xml"/><Relationship Id="rId2" Type="http://schemas.openxmlformats.org/officeDocument/2006/relationships/vmlDrawing" Target="../drawings/vmlDrawing6.vml"/><Relationship Id="rId1" Type="http://schemas.openxmlformats.org/officeDocument/2006/relationships/drawing" Target="../drawings/drawing7.xml"/><Relationship Id="rId4" Type="http://schemas.openxmlformats.org/officeDocument/2006/relationships/ctrlProp" Target="../ctrlProps/ctrlProp5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D107"/>
  <sheetViews>
    <sheetView tabSelected="1" zoomScaleNormal="100" workbookViewId="0">
      <selection activeCell="E10" sqref="E10"/>
    </sheetView>
  </sheetViews>
  <sheetFormatPr defaultRowHeight="15" x14ac:dyDescent="0.25"/>
  <cols>
    <col min="1" max="1" width="3.140625" customWidth="1"/>
    <col min="2" max="2" width="2.5703125" customWidth="1"/>
    <col min="3" max="3" width="21" customWidth="1"/>
    <col min="4" max="4" width="16.28515625" customWidth="1"/>
    <col min="5" max="5" width="16.42578125" customWidth="1"/>
    <col min="6" max="6" width="17.5703125" customWidth="1"/>
    <col min="7" max="7" width="9.28515625" customWidth="1"/>
    <col min="8" max="18" width="13.7109375" customWidth="1"/>
    <col min="19" max="19" width="12.5703125" customWidth="1"/>
    <col min="20" max="20" width="11.140625" customWidth="1"/>
    <col min="21" max="23" width="12.28515625" customWidth="1"/>
    <col min="24" max="24" width="28" customWidth="1"/>
    <col min="27" max="27" width="9" customWidth="1"/>
    <col min="29" max="29" width="9.140625" customWidth="1"/>
  </cols>
  <sheetData>
    <row r="1" spans="1:29" ht="13.5" customHeight="1" x14ac:dyDescent="0.25">
      <c r="B1" s="29"/>
      <c r="C1" s="30"/>
      <c r="D1" s="30"/>
      <c r="E1" s="30"/>
      <c r="F1" s="30"/>
      <c r="G1" s="30"/>
      <c r="H1" s="30"/>
      <c r="I1" s="30"/>
      <c r="J1" s="30"/>
      <c r="K1" s="30"/>
      <c r="L1" s="30"/>
      <c r="M1" s="30"/>
      <c r="N1" s="21"/>
      <c r="O1" s="21"/>
      <c r="P1" s="21"/>
      <c r="Q1" s="21"/>
      <c r="R1" s="21"/>
      <c r="S1" s="21"/>
      <c r="T1" s="30"/>
      <c r="U1" s="30"/>
      <c r="V1" s="30"/>
      <c r="W1" s="30"/>
      <c r="X1" s="31"/>
    </row>
    <row r="2" spans="1:29" ht="21" x14ac:dyDescent="0.35">
      <c r="B2" s="32"/>
      <c r="C2" s="21"/>
      <c r="D2" s="24" t="s">
        <v>58</v>
      </c>
      <c r="E2" s="24"/>
      <c r="F2" s="24"/>
      <c r="G2" s="24"/>
      <c r="H2" s="21"/>
      <c r="I2" s="21"/>
      <c r="J2" s="46"/>
      <c r="K2" s="46"/>
      <c r="L2" s="46"/>
      <c r="M2" s="46"/>
      <c r="N2" s="21"/>
      <c r="O2" s="21"/>
      <c r="P2" s="21"/>
      <c r="Q2" s="21"/>
      <c r="R2" s="21"/>
      <c r="S2" s="21"/>
      <c r="T2" s="46"/>
      <c r="U2" s="46"/>
      <c r="V2" s="46"/>
      <c r="W2" s="46"/>
      <c r="X2" s="46"/>
    </row>
    <row r="3" spans="1:29" ht="25.5" customHeight="1" x14ac:dyDescent="0.35">
      <c r="B3" s="32"/>
      <c r="C3" s="21"/>
      <c r="D3" s="34" t="s">
        <v>716</v>
      </c>
      <c r="E3" s="34"/>
      <c r="F3" s="34"/>
      <c r="G3" s="34"/>
      <c r="H3" s="21"/>
      <c r="I3" s="21"/>
      <c r="J3" s="46"/>
      <c r="K3" s="46"/>
      <c r="L3" s="46"/>
      <c r="M3" s="46"/>
      <c r="N3" s="21"/>
      <c r="O3" s="21"/>
      <c r="P3" s="21"/>
      <c r="Q3" s="21"/>
      <c r="R3" s="21"/>
      <c r="S3" s="21"/>
      <c r="T3" s="46"/>
      <c r="U3" s="46"/>
      <c r="V3" s="46"/>
      <c r="W3" s="46"/>
      <c r="X3" s="46"/>
    </row>
    <row r="4" spans="1:29" ht="13.5" customHeight="1" x14ac:dyDescent="0.3">
      <c r="B4" s="32"/>
      <c r="C4" s="21"/>
      <c r="D4" s="25"/>
      <c r="E4" s="25"/>
      <c r="F4" s="25"/>
      <c r="G4" s="25"/>
      <c r="H4" s="21"/>
      <c r="I4" s="21"/>
      <c r="J4" s="21"/>
      <c r="K4" s="21"/>
      <c r="L4" s="21"/>
      <c r="M4" s="21"/>
      <c r="N4" s="21"/>
      <c r="O4" s="21"/>
      <c r="P4" s="21"/>
      <c r="Q4" s="21"/>
      <c r="R4" s="21"/>
      <c r="S4" s="21"/>
      <c r="T4" s="21"/>
      <c r="U4" s="21"/>
      <c r="V4" s="21"/>
      <c r="W4" s="21"/>
      <c r="X4" s="33"/>
    </row>
    <row r="5" spans="1:29" ht="24.75" customHeight="1" x14ac:dyDescent="0.3">
      <c r="B5" s="22"/>
      <c r="C5" s="127" t="s">
        <v>164</v>
      </c>
      <c r="D5" s="717" t="s">
        <v>167</v>
      </c>
      <c r="E5" s="717"/>
      <c r="F5" s="717"/>
      <c r="G5" s="717"/>
      <c r="H5" s="717"/>
      <c r="I5" s="717"/>
      <c r="J5" s="68"/>
      <c r="K5" s="68"/>
      <c r="L5" s="68"/>
      <c r="M5" s="68"/>
      <c r="N5" s="68"/>
      <c r="O5" s="68"/>
      <c r="P5" s="68"/>
      <c r="Q5" s="68"/>
      <c r="R5" s="68"/>
      <c r="S5" s="68"/>
      <c r="T5" s="68"/>
      <c r="U5" s="68"/>
      <c r="V5" s="68"/>
      <c r="W5" s="68"/>
      <c r="X5" s="69"/>
    </row>
    <row r="6" spans="1:29" ht="6.75" customHeight="1" x14ac:dyDescent="0.35">
      <c r="B6" s="22"/>
      <c r="C6" s="125"/>
      <c r="D6" s="126"/>
      <c r="E6" s="126"/>
      <c r="F6" s="126"/>
      <c r="G6" s="126"/>
      <c r="H6" s="126"/>
      <c r="I6" s="126"/>
      <c r="J6" s="68"/>
      <c r="K6" s="68"/>
      <c r="L6" s="68"/>
      <c r="M6" s="68"/>
      <c r="N6" s="68"/>
      <c r="O6" s="68"/>
      <c r="P6" s="68"/>
      <c r="Q6" s="68"/>
      <c r="R6" s="68"/>
      <c r="S6" s="68"/>
      <c r="T6" s="68"/>
      <c r="U6" s="68"/>
      <c r="V6" s="68"/>
      <c r="W6" s="68"/>
      <c r="X6" s="69"/>
    </row>
    <row r="7" spans="1:29" ht="18" customHeight="1" thickBot="1" x14ac:dyDescent="0.35">
      <c r="A7" s="16"/>
      <c r="B7" s="22"/>
      <c r="C7" s="17"/>
      <c r="D7" s="724" t="s">
        <v>17</v>
      </c>
      <c r="E7" s="724"/>
      <c r="F7" s="724"/>
      <c r="G7" s="724"/>
      <c r="H7" s="724"/>
      <c r="I7" s="17"/>
      <c r="J7" s="68"/>
      <c r="K7" s="78" t="s">
        <v>314</v>
      </c>
      <c r="L7" s="79"/>
      <c r="M7" s="80"/>
      <c r="N7" s="80"/>
      <c r="O7" s="68"/>
      <c r="P7" s="68"/>
      <c r="Q7" s="68"/>
      <c r="R7" s="68"/>
      <c r="S7" s="68"/>
      <c r="T7" s="68"/>
      <c r="U7" s="68"/>
      <c r="V7" s="68"/>
      <c r="W7" s="68"/>
      <c r="X7" s="105" t="s">
        <v>1038</v>
      </c>
    </row>
    <row r="8" spans="1:29" ht="12.75" customHeight="1" thickTop="1" x14ac:dyDescent="0.25">
      <c r="A8" s="16"/>
      <c r="B8" s="22"/>
      <c r="C8" s="17"/>
      <c r="D8" s="17"/>
      <c r="E8" s="17"/>
      <c r="F8" s="17"/>
      <c r="G8" s="17"/>
      <c r="H8" s="17"/>
      <c r="I8" s="18"/>
      <c r="J8" s="68"/>
      <c r="K8" s="68"/>
      <c r="L8" s="68"/>
      <c r="M8" s="68"/>
      <c r="N8" s="68"/>
      <c r="O8" s="68"/>
      <c r="P8" s="68"/>
      <c r="Q8" s="68"/>
      <c r="R8" s="68"/>
      <c r="S8" s="68"/>
      <c r="T8" s="68"/>
      <c r="U8" s="68"/>
      <c r="V8" s="68"/>
      <c r="W8" s="68"/>
      <c r="X8" s="69"/>
    </row>
    <row r="9" spans="1:29" ht="18" thickBot="1" x14ac:dyDescent="0.3">
      <c r="A9" s="16"/>
      <c r="B9" s="22"/>
      <c r="C9" s="571" t="s">
        <v>742</v>
      </c>
      <c r="D9" s="17"/>
      <c r="E9" s="17"/>
      <c r="F9" s="456"/>
      <c r="G9" s="17"/>
      <c r="H9" s="17"/>
      <c r="I9" s="17"/>
      <c r="J9" s="68"/>
      <c r="K9" s="721" t="s">
        <v>548</v>
      </c>
      <c r="L9" s="722"/>
      <c r="M9" s="118" t="s">
        <v>130</v>
      </c>
      <c r="N9" s="68"/>
      <c r="O9" s="68"/>
      <c r="P9" s="99" t="s">
        <v>844</v>
      </c>
      <c r="Q9" s="68"/>
      <c r="R9" s="68"/>
      <c r="S9" s="68"/>
      <c r="T9" s="68"/>
      <c r="U9" s="68"/>
      <c r="V9" s="68"/>
      <c r="W9" s="68"/>
      <c r="X9" s="69"/>
      <c r="Y9" s="62" t="s">
        <v>39</v>
      </c>
      <c r="Z9" s="76">
        <v>5</v>
      </c>
      <c r="AA9" s="63" t="s">
        <v>40</v>
      </c>
      <c r="AB9" s="63" t="s">
        <v>116</v>
      </c>
      <c r="AC9" s="63"/>
    </row>
    <row r="10" spans="1:29" ht="16.5" thickTop="1" thickBot="1" x14ac:dyDescent="0.3">
      <c r="A10" s="16"/>
      <c r="B10" s="22"/>
      <c r="C10" s="17"/>
      <c r="D10" s="457" t="s">
        <v>625</v>
      </c>
      <c r="E10" s="192">
        <v>100</v>
      </c>
      <c r="F10" s="456" t="str">
        <f>Data!$B$9</f>
        <v>max 250 L/s</v>
      </c>
      <c r="G10" s="678" t="s">
        <v>325</v>
      </c>
      <c r="H10" s="679" t="s">
        <v>324</v>
      </c>
      <c r="I10" s="17"/>
      <c r="J10" s="68"/>
      <c r="K10" s="68"/>
      <c r="L10" s="68"/>
      <c r="M10" s="81"/>
      <c r="N10" s="68"/>
      <c r="O10" s="68"/>
      <c r="P10" s="68"/>
      <c r="Q10" s="68"/>
      <c r="R10" s="68"/>
      <c r="S10" s="68"/>
      <c r="T10" s="82"/>
      <c r="U10" s="82"/>
      <c r="V10" s="82"/>
      <c r="W10" s="82"/>
      <c r="X10" s="69"/>
    </row>
    <row r="11" spans="1:29" ht="15.75" customHeight="1" thickTop="1" thickBot="1" x14ac:dyDescent="0.3">
      <c r="A11" s="16"/>
      <c r="B11" s="22"/>
      <c r="C11" s="17"/>
      <c r="D11" s="458"/>
      <c r="E11" s="184" t="str">
        <f>Equations!C9</f>
        <v>= 360</v>
      </c>
      <c r="F11" s="185" t="str">
        <f>Equations!D9</f>
        <v>m³/h</v>
      </c>
      <c r="G11" s="17"/>
      <c r="H11" s="17"/>
      <c r="I11" s="17"/>
      <c r="J11" s="68"/>
      <c r="K11" s="68"/>
      <c r="L11" s="83" t="s">
        <v>66</v>
      </c>
      <c r="M11" s="94">
        <v>0.9</v>
      </c>
      <c r="N11" s="68"/>
      <c r="O11" s="97" t="s">
        <v>124</v>
      </c>
      <c r="P11" s="68"/>
      <c r="Q11" s="68"/>
      <c r="R11" s="68"/>
      <c r="S11" s="68"/>
      <c r="T11" s="68"/>
      <c r="U11" s="97"/>
      <c r="V11" s="84"/>
      <c r="W11" s="84"/>
      <c r="X11" s="85"/>
    </row>
    <row r="12" spans="1:29" ht="16.5" thickTop="1" thickBot="1" x14ac:dyDescent="0.3">
      <c r="A12" s="16"/>
      <c r="B12" s="22"/>
      <c r="C12" s="17"/>
      <c r="D12" s="457" t="s">
        <v>85</v>
      </c>
      <c r="E12" s="447">
        <v>0.3</v>
      </c>
      <c r="F12" s="456" t="s">
        <v>1018</v>
      </c>
      <c r="G12" s="17"/>
      <c r="H12" s="17"/>
      <c r="I12" s="17"/>
      <c r="J12" s="68"/>
      <c r="K12" s="68"/>
      <c r="L12" s="68"/>
      <c r="M12" s="68"/>
      <c r="N12" s="68"/>
      <c r="O12" s="68"/>
      <c r="P12" s="68"/>
      <c r="Q12" s="68"/>
      <c r="R12" s="68"/>
      <c r="S12" s="68"/>
      <c r="T12" s="68"/>
      <c r="U12" s="68"/>
      <c r="V12" s="68"/>
      <c r="W12" s="68"/>
      <c r="X12" s="69"/>
    </row>
    <row r="13" spans="1:29" ht="15.75" thickTop="1" x14ac:dyDescent="0.25">
      <c r="A13" s="16"/>
      <c r="B13" s="22"/>
      <c r="C13" s="17"/>
      <c r="D13" s="459"/>
      <c r="E13" s="184" t="str">
        <f>"= " &amp; E10*E12</f>
        <v>= 30</v>
      </c>
      <c r="F13" s="182" t="str">
        <f>Equations!E3</f>
        <v>L/s</v>
      </c>
      <c r="G13" s="17"/>
      <c r="H13" s="17"/>
      <c r="I13" s="17"/>
      <c r="J13" s="68"/>
      <c r="K13" s="111" t="s">
        <v>127</v>
      </c>
      <c r="L13" s="110"/>
      <c r="M13" s="68"/>
      <c r="N13" s="68"/>
      <c r="O13" s="68"/>
      <c r="P13" s="68"/>
      <c r="Q13" s="68"/>
      <c r="R13" s="68"/>
      <c r="S13" s="68"/>
      <c r="T13" s="68"/>
      <c r="U13" s="68"/>
      <c r="V13" s="68"/>
      <c r="W13" s="68"/>
      <c r="X13" s="69"/>
    </row>
    <row r="14" spans="1:29" ht="15.75" thickBot="1" x14ac:dyDescent="0.3">
      <c r="A14" s="16"/>
      <c r="B14" s="22"/>
      <c r="C14" s="17"/>
      <c r="D14" s="457" t="s">
        <v>1020</v>
      </c>
      <c r="E14" s="48">
        <v>40</v>
      </c>
      <c r="F14" s="182" t="s">
        <v>1019</v>
      </c>
      <c r="G14" s="17"/>
      <c r="H14" s="17"/>
      <c r="I14" s="17"/>
      <c r="J14" s="68"/>
      <c r="K14" s="68"/>
      <c r="L14" s="68"/>
      <c r="M14" s="68"/>
      <c r="N14" s="68"/>
      <c r="O14" s="68"/>
      <c r="P14" s="68"/>
      <c r="Q14" s="68"/>
      <c r="R14" s="68"/>
      <c r="S14" s="68"/>
      <c r="T14" s="97"/>
      <c r="U14" s="68"/>
      <c r="V14" s="68"/>
      <c r="W14" s="68"/>
      <c r="X14" s="69"/>
    </row>
    <row r="15" spans="1:29" ht="15.75" thickTop="1" x14ac:dyDescent="0.25">
      <c r="A15" s="16"/>
      <c r="B15" s="22"/>
      <c r="C15" s="17"/>
      <c r="D15" s="457"/>
      <c r="E15" s="579" t="str">
        <f>Data!B18</f>
        <v/>
      </c>
      <c r="F15" s="580" t="str">
        <f>Data!B19</f>
        <v/>
      </c>
      <c r="G15" s="17"/>
      <c r="H15" s="17"/>
      <c r="I15" s="17"/>
      <c r="J15" s="68"/>
      <c r="K15" s="117"/>
      <c r="L15" s="196"/>
      <c r="M15" s="107" t="s">
        <v>315</v>
      </c>
      <c r="N15" s="107"/>
      <c r="O15" s="99"/>
      <c r="P15" s="107"/>
      <c r="Q15" s="107"/>
      <c r="R15" s="107"/>
      <c r="S15" s="107"/>
      <c r="T15" s="97"/>
      <c r="U15" s="68"/>
      <c r="V15" s="68"/>
      <c r="W15" s="68"/>
      <c r="X15" s="69"/>
    </row>
    <row r="16" spans="1:29" x14ac:dyDescent="0.25">
      <c r="A16" s="16"/>
      <c r="B16" s="22"/>
      <c r="C16" s="17"/>
      <c r="D16" s="457"/>
      <c r="E16" s="578" t="str">
        <f>Data!B20</f>
        <v>Motorised Pressure Control Damper (DMPC)</v>
      </c>
      <c r="F16" s="414"/>
      <c r="G16" s="17"/>
      <c r="H16" s="17"/>
      <c r="I16" s="17"/>
      <c r="J16" s="68"/>
      <c r="K16" s="108" t="s">
        <v>128</v>
      </c>
      <c r="L16" s="106"/>
      <c r="M16" s="190" t="str">
        <f ca="1">"coverage = "&amp;ROUND(Equations!C405,1) &amp; " m"</f>
        <v>coverage = 5.9 m</v>
      </c>
      <c r="N16" s="68"/>
      <c r="O16" s="99"/>
      <c r="P16" s="122"/>
      <c r="Q16" s="122"/>
      <c r="R16" s="122"/>
      <c r="S16" s="122"/>
      <c r="T16" s="97"/>
      <c r="U16" s="68"/>
      <c r="V16" s="68"/>
      <c r="W16" s="68"/>
      <c r="X16" s="69"/>
    </row>
    <row r="17" spans="1:24" ht="15.75" thickBot="1" x14ac:dyDescent="0.3">
      <c r="A17" s="16"/>
      <c r="B17" s="22"/>
      <c r="C17" s="17"/>
      <c r="D17" s="458"/>
      <c r="E17" s="680" t="s">
        <v>1024</v>
      </c>
      <c r="F17" s="17"/>
      <c r="G17" s="17"/>
      <c r="H17" s="17"/>
      <c r="I17" s="17"/>
      <c r="J17" s="68"/>
      <c r="K17" s="68"/>
      <c r="L17" s="107" t="s">
        <v>316</v>
      </c>
      <c r="M17" s="93">
        <v>6</v>
      </c>
      <c r="N17" s="90" t="s">
        <v>12</v>
      </c>
      <c r="O17" s="99" t="s">
        <v>547</v>
      </c>
      <c r="P17" s="90"/>
      <c r="Q17" s="90"/>
      <c r="R17" s="90"/>
      <c r="S17" s="90"/>
      <c r="T17" s="68"/>
      <c r="U17" s="68"/>
      <c r="V17" s="68"/>
      <c r="W17" s="68"/>
      <c r="X17" s="69"/>
    </row>
    <row r="18" spans="1:24" ht="15.75" customHeight="1" thickTop="1" x14ac:dyDescent="0.25">
      <c r="A18" s="16"/>
      <c r="B18" s="22"/>
      <c r="C18" s="17"/>
      <c r="D18" s="17"/>
      <c r="E18" s="17"/>
      <c r="F18" s="17"/>
      <c r="G18" s="17"/>
      <c r="H18" s="17"/>
      <c r="I18" s="17"/>
      <c r="J18" s="68"/>
      <c r="K18" s="108" t="s">
        <v>128</v>
      </c>
      <c r="L18" s="120"/>
      <c r="M18" s="191" t="str">
        <f ca="1">"= specfic airflow rate: "&amp;Equations!C403&amp;" "&amp;Equations!D4</f>
        <v>= specfic airflow rate: 2.9 L/s/m²</v>
      </c>
      <c r="N18" s="119"/>
      <c r="O18" s="99"/>
      <c r="P18" s="119"/>
      <c r="Q18" s="119"/>
      <c r="R18" s="119"/>
      <c r="S18" s="119"/>
      <c r="T18" s="68"/>
      <c r="U18" s="68"/>
      <c r="V18" s="68"/>
      <c r="W18" s="68"/>
      <c r="X18" s="69"/>
    </row>
    <row r="19" spans="1:24" ht="15.75" customHeight="1" thickBot="1" x14ac:dyDescent="0.3">
      <c r="A19" s="16"/>
      <c r="B19" s="22"/>
      <c r="C19" s="17"/>
      <c r="D19" s="457" t="s">
        <v>9</v>
      </c>
      <c r="E19" s="130">
        <v>-12</v>
      </c>
      <c r="F19" s="182" t="s">
        <v>263</v>
      </c>
      <c r="G19" s="17"/>
      <c r="H19" s="17"/>
      <c r="I19" s="17"/>
      <c r="J19" s="68"/>
      <c r="K19" s="117"/>
      <c r="L19" s="107" t="s">
        <v>140</v>
      </c>
      <c r="M19" s="121">
        <v>2.6</v>
      </c>
      <c r="N19" s="90" t="str">
        <f>Equations!D4</f>
        <v>L/s/m²</v>
      </c>
      <c r="O19" s="99" t="str">
        <f>"≤ "&amp;Equations!C406&amp;" "&amp;Equations!D4</f>
        <v>≤ 30 L/s/m²</v>
      </c>
      <c r="P19" s="90"/>
      <c r="Q19" s="90"/>
      <c r="R19" s="90"/>
      <c r="S19" s="90"/>
      <c r="T19" s="68"/>
      <c r="U19" s="68"/>
      <c r="V19" s="68"/>
      <c r="W19" s="68"/>
      <c r="X19" s="89"/>
    </row>
    <row r="20" spans="1:24" ht="15.75" customHeight="1" thickTop="1" x14ac:dyDescent="0.25">
      <c r="A20" s="16"/>
      <c r="B20" s="22"/>
      <c r="C20" s="17"/>
      <c r="D20" s="458"/>
      <c r="E20" s="19"/>
      <c r="F20" s="416" t="s">
        <v>264</v>
      </c>
      <c r="G20" s="17"/>
      <c r="H20" s="17"/>
      <c r="I20" s="17"/>
      <c r="J20" s="68"/>
      <c r="K20" s="68"/>
      <c r="L20" s="68"/>
      <c r="M20" s="338" t="str">
        <f ca="1">"average diffuser coverage 'C': "&amp;ROUND(Equations!C405,1) &amp; " m"</f>
        <v>average diffuser coverage 'C': 5.9 m</v>
      </c>
      <c r="N20" s="338"/>
      <c r="O20" s="338"/>
      <c r="P20" s="338"/>
      <c r="Q20" s="338"/>
      <c r="R20" s="338"/>
      <c r="S20" s="338"/>
      <c r="T20" s="68"/>
      <c r="U20" s="68"/>
      <c r="V20" s="68"/>
      <c r="W20" s="68"/>
      <c r="X20" s="89"/>
    </row>
    <row r="21" spans="1:24" ht="15.75" customHeight="1" thickBot="1" x14ac:dyDescent="0.3">
      <c r="A21" s="16"/>
      <c r="B21" s="22"/>
      <c r="C21" s="17"/>
      <c r="D21" s="457" t="s">
        <v>87</v>
      </c>
      <c r="E21" s="48">
        <v>2.7</v>
      </c>
      <c r="F21" s="182" t="s">
        <v>145</v>
      </c>
      <c r="G21" s="17"/>
      <c r="H21" s="17"/>
      <c r="I21" s="17"/>
      <c r="J21" s="68"/>
      <c r="K21" s="68"/>
      <c r="L21" s="83" t="s">
        <v>115</v>
      </c>
      <c r="M21" s="93">
        <v>23</v>
      </c>
      <c r="N21" s="90" t="s">
        <v>94</v>
      </c>
      <c r="O21" s="99" t="s">
        <v>132</v>
      </c>
      <c r="P21" s="90"/>
      <c r="Q21" s="90"/>
      <c r="R21" s="90"/>
      <c r="S21" s="90"/>
      <c r="T21" s="68"/>
      <c r="U21" s="68"/>
      <c r="V21" s="68"/>
      <c r="W21" s="68"/>
      <c r="X21" s="69"/>
    </row>
    <row r="22" spans="1:24" ht="15.75" customHeight="1" thickTop="1" x14ac:dyDescent="0.25">
      <c r="A22" s="16"/>
      <c r="B22" s="22"/>
      <c r="C22" s="17"/>
      <c r="D22" s="457"/>
      <c r="E22" s="20"/>
      <c r="F22" s="134"/>
      <c r="G22" s="17"/>
      <c r="H22" s="17"/>
      <c r="I22" s="17"/>
      <c r="J22" s="68"/>
      <c r="K22" s="68"/>
      <c r="L22" s="86"/>
      <c r="M22" s="68"/>
      <c r="N22" s="68"/>
      <c r="O22" s="68"/>
      <c r="P22" s="68"/>
      <c r="Q22" s="68"/>
      <c r="R22" s="68"/>
      <c r="S22" s="68"/>
      <c r="T22" s="68"/>
      <c r="U22" s="338"/>
      <c r="V22" s="68"/>
      <c r="W22" s="68"/>
      <c r="X22" s="69"/>
    </row>
    <row r="23" spans="1:24" ht="15.75" customHeight="1" thickBot="1" x14ac:dyDescent="0.3">
      <c r="A23" s="16"/>
      <c r="B23" s="22"/>
      <c r="C23" s="17"/>
      <c r="D23" s="457" t="s">
        <v>818</v>
      </c>
      <c r="E23" s="447">
        <v>0.6</v>
      </c>
      <c r="F23" s="456" t="s">
        <v>1037</v>
      </c>
      <c r="G23" s="456"/>
      <c r="H23" s="17"/>
      <c r="I23" s="17"/>
      <c r="J23" s="68"/>
      <c r="K23" s="68"/>
      <c r="L23" s="96" t="s">
        <v>162</v>
      </c>
      <c r="M23" s="725" t="s">
        <v>82</v>
      </c>
      <c r="N23" s="725"/>
      <c r="O23" s="95" t="s">
        <v>194</v>
      </c>
      <c r="P23" s="339"/>
      <c r="Q23" s="339"/>
      <c r="R23" s="339"/>
      <c r="S23" s="339"/>
      <c r="T23" s="68"/>
      <c r="U23" s="68"/>
      <c r="V23" s="68"/>
      <c r="W23" s="68"/>
      <c r="X23" s="69"/>
    </row>
    <row r="24" spans="1:24" ht="15.75" customHeight="1" thickTop="1" x14ac:dyDescent="0.25">
      <c r="A24" s="16"/>
      <c r="B24" s="22"/>
      <c r="C24" s="17"/>
      <c r="D24" s="342"/>
      <c r="E24" s="342"/>
      <c r="F24" s="342"/>
      <c r="G24" s="456"/>
      <c r="H24" s="342"/>
      <c r="I24" s="18"/>
      <c r="J24" s="68"/>
      <c r="K24" s="68"/>
      <c r="L24" s="68"/>
      <c r="M24" s="68"/>
      <c r="N24" s="68"/>
      <c r="O24" s="68"/>
      <c r="P24" s="68"/>
      <c r="Q24" s="68"/>
      <c r="R24" s="68"/>
      <c r="S24" s="68"/>
      <c r="T24" s="97"/>
      <c r="U24" s="68"/>
      <c r="V24" s="68"/>
      <c r="W24" s="68"/>
      <c r="X24" s="69"/>
    </row>
    <row r="25" spans="1:24" ht="15.75" customHeight="1" thickBot="1" x14ac:dyDescent="0.35">
      <c r="A25" s="16"/>
      <c r="B25" s="22"/>
      <c r="C25" s="17"/>
      <c r="D25" s="168"/>
      <c r="E25" s="168"/>
      <c r="F25" s="168"/>
      <c r="G25" s="168"/>
      <c r="H25" s="168"/>
      <c r="I25" s="17"/>
      <c r="J25" s="68"/>
      <c r="K25" s="68"/>
      <c r="L25" s="96" t="s">
        <v>84</v>
      </c>
      <c r="M25" s="94">
        <v>0</v>
      </c>
      <c r="N25" s="68"/>
      <c r="O25" s="98" t="s">
        <v>79</v>
      </c>
      <c r="P25" s="68"/>
      <c r="Q25" s="68"/>
      <c r="R25" s="68"/>
      <c r="S25" s="68"/>
      <c r="T25" s="95"/>
      <c r="U25" s="95"/>
      <c r="V25" s="68"/>
      <c r="W25" s="68"/>
      <c r="X25" s="89"/>
    </row>
    <row r="26" spans="1:24" ht="15.75" customHeight="1" thickTop="1" x14ac:dyDescent="0.25">
      <c r="A26" s="16"/>
      <c r="B26" s="22"/>
      <c r="C26" s="541"/>
      <c r="D26" s="135"/>
      <c r="E26" s="135"/>
      <c r="F26" s="135"/>
      <c r="G26" s="135"/>
      <c r="H26" s="20"/>
      <c r="I26" s="20"/>
      <c r="J26" s="68"/>
      <c r="K26" s="68"/>
      <c r="L26" s="83"/>
      <c r="M26" s="68"/>
      <c r="N26" s="90"/>
      <c r="O26" s="90"/>
      <c r="P26" s="90"/>
      <c r="Q26" s="90"/>
      <c r="R26" s="90"/>
      <c r="S26" s="90"/>
      <c r="T26" s="99"/>
      <c r="U26" s="68"/>
      <c r="V26" s="68"/>
      <c r="W26" s="68"/>
      <c r="X26" s="89"/>
    </row>
    <row r="27" spans="1:24" ht="15.75" customHeight="1" x14ac:dyDescent="0.25">
      <c r="A27" s="16"/>
      <c r="B27" s="22"/>
      <c r="C27" s="413" t="s">
        <v>565</v>
      </c>
      <c r="D27" s="135"/>
      <c r="E27" s="135"/>
      <c r="F27" s="135"/>
      <c r="G27" s="135"/>
      <c r="H27" s="20"/>
      <c r="I27" s="20"/>
      <c r="J27" s="68"/>
      <c r="K27" s="96" t="s">
        <v>71</v>
      </c>
      <c r="L27" s="96"/>
      <c r="M27" s="90"/>
      <c r="N27" s="68"/>
      <c r="O27" s="68"/>
      <c r="P27" s="68"/>
      <c r="Q27" s="68"/>
      <c r="R27" s="68"/>
      <c r="S27" s="68"/>
      <c r="T27" s="68"/>
      <c r="U27" s="68"/>
      <c r="V27" s="68"/>
      <c r="W27" s="68"/>
      <c r="X27" s="89"/>
    </row>
    <row r="28" spans="1:24" ht="15.75" customHeight="1" x14ac:dyDescent="0.25">
      <c r="A28" s="16"/>
      <c r="B28" s="22"/>
      <c r="C28" s="415" t="s">
        <v>1025</v>
      </c>
      <c r="D28" s="415" t="s">
        <v>912</v>
      </c>
      <c r="E28" s="134"/>
      <c r="F28" s="134"/>
      <c r="G28" s="134"/>
      <c r="H28" s="20"/>
      <c r="I28" s="20"/>
      <c r="J28" s="82"/>
      <c r="K28" s="87" t="s">
        <v>72</v>
      </c>
      <c r="L28" s="88" t="s">
        <v>67</v>
      </c>
      <c r="M28" s="68"/>
      <c r="N28" s="88"/>
      <c r="O28" s="88"/>
      <c r="P28" s="88"/>
      <c r="Q28" s="88"/>
      <c r="R28" s="88"/>
      <c r="S28" s="88"/>
      <c r="T28" s="82"/>
      <c r="U28" s="82"/>
      <c r="V28" s="82"/>
      <c r="W28" s="82"/>
      <c r="X28" s="89"/>
    </row>
    <row r="29" spans="1:24" ht="15.75" customHeight="1" x14ac:dyDescent="0.25">
      <c r="A29" s="16"/>
      <c r="B29" s="22"/>
      <c r="C29" s="415" t="s">
        <v>566</v>
      </c>
      <c r="D29" s="415" t="s">
        <v>569</v>
      </c>
      <c r="E29" s="20"/>
      <c r="F29" s="20"/>
      <c r="G29" s="20"/>
      <c r="H29" s="20"/>
      <c r="I29" s="20"/>
      <c r="J29" s="82"/>
      <c r="K29" s="87" t="s">
        <v>73</v>
      </c>
      <c r="L29" s="88" t="s">
        <v>68</v>
      </c>
      <c r="M29" s="68"/>
      <c r="N29" s="88"/>
      <c r="O29" s="88"/>
      <c r="P29" s="88"/>
      <c r="Q29" s="88"/>
      <c r="R29" s="88"/>
      <c r="S29" s="88"/>
      <c r="T29" s="82"/>
      <c r="U29" s="82"/>
      <c r="V29" s="82"/>
      <c r="W29" s="82"/>
      <c r="X29" s="89"/>
    </row>
    <row r="30" spans="1:24" ht="15.75" customHeight="1" x14ac:dyDescent="0.25">
      <c r="A30" s="16"/>
      <c r="B30" s="22"/>
      <c r="C30" s="415" t="s">
        <v>615</v>
      </c>
      <c r="D30" s="415" t="s">
        <v>570</v>
      </c>
      <c r="E30" s="20"/>
      <c r="F30" s="20"/>
      <c r="G30" s="20"/>
      <c r="H30" s="20"/>
      <c r="I30" s="20"/>
      <c r="J30" s="82"/>
      <c r="K30" s="87" t="s">
        <v>74</v>
      </c>
      <c r="L30" s="88" t="s">
        <v>69</v>
      </c>
      <c r="M30" s="68"/>
      <c r="N30" s="88"/>
      <c r="O30" s="88"/>
      <c r="P30" s="88"/>
      <c r="Q30" s="88"/>
      <c r="R30" s="88"/>
      <c r="S30" s="88"/>
      <c r="T30" s="82"/>
      <c r="U30" s="82"/>
      <c r="V30" s="82"/>
      <c r="W30" s="82"/>
      <c r="X30" s="89"/>
    </row>
    <row r="31" spans="1:24" ht="15.75" customHeight="1" x14ac:dyDescent="0.25">
      <c r="A31" s="16"/>
      <c r="B31" s="22"/>
      <c r="C31" s="415"/>
      <c r="D31" s="20"/>
      <c r="E31" s="20"/>
      <c r="F31" s="20"/>
      <c r="G31" s="20"/>
      <c r="H31" s="20"/>
      <c r="I31" s="20"/>
      <c r="J31" s="82"/>
      <c r="K31" s="87" t="s">
        <v>75</v>
      </c>
      <c r="L31" s="88" t="s">
        <v>70</v>
      </c>
      <c r="M31" s="68"/>
      <c r="N31" s="88"/>
      <c r="O31" s="88"/>
      <c r="P31" s="88"/>
      <c r="Q31" s="88"/>
      <c r="R31" s="88"/>
      <c r="S31" s="88"/>
      <c r="T31" s="82"/>
      <c r="U31" s="82"/>
      <c r="V31" s="82"/>
      <c r="W31" s="82"/>
      <c r="X31" s="89"/>
    </row>
    <row r="32" spans="1:24" ht="7.7" customHeight="1" x14ac:dyDescent="0.25">
      <c r="A32" s="16"/>
      <c r="B32" s="26"/>
      <c r="C32" s="27"/>
      <c r="D32" s="27"/>
      <c r="E32" s="27"/>
      <c r="F32" s="27"/>
      <c r="G32" s="27"/>
      <c r="H32" s="27"/>
      <c r="I32" s="28"/>
      <c r="J32" s="91"/>
      <c r="K32" s="91"/>
      <c r="L32" s="91"/>
      <c r="M32" s="91"/>
      <c r="N32" s="91"/>
      <c r="O32" s="91"/>
      <c r="P32" s="91"/>
      <c r="Q32" s="91"/>
      <c r="R32" s="91"/>
      <c r="S32" s="91"/>
      <c r="T32" s="91"/>
      <c r="U32" s="91"/>
      <c r="V32" s="91"/>
      <c r="W32" s="91"/>
      <c r="X32" s="92"/>
    </row>
    <row r="33" spans="1:30" ht="11.65" customHeight="1" x14ac:dyDescent="0.3">
      <c r="A33" s="16"/>
      <c r="B33" s="22"/>
      <c r="C33" s="17"/>
      <c r="D33" s="168"/>
      <c r="E33" s="168"/>
      <c r="F33" s="168"/>
      <c r="G33" s="168"/>
      <c r="H33" s="168"/>
      <c r="I33" s="17"/>
      <c r="J33" s="723"/>
      <c r="K33" s="723"/>
      <c r="L33" s="17"/>
      <c r="M33" s="723"/>
      <c r="N33" s="723"/>
      <c r="O33" s="302"/>
      <c r="P33" s="302"/>
      <c r="Q33" s="302"/>
      <c r="R33" s="302"/>
      <c r="S33" s="302"/>
      <c r="T33" s="17"/>
      <c r="U33" s="17"/>
      <c r="V33" s="17"/>
      <c r="W33" s="17"/>
      <c r="X33" s="23"/>
    </row>
    <row r="34" spans="1:30" ht="21" customHeight="1" thickBot="1" x14ac:dyDescent="0.3">
      <c r="A34" s="16"/>
      <c r="B34" s="22"/>
      <c r="C34" s="193"/>
      <c r="D34" s="183" t="str">
        <f>"SMARTEMP HSC-VS-"</f>
        <v>SMARTEMP HSC-VS-</v>
      </c>
      <c r="E34" s="183"/>
      <c r="F34" s="183"/>
      <c r="G34" s="490"/>
      <c r="H34" s="143" t="str">
        <f>Equations!C601</f>
        <v>D0</v>
      </c>
      <c r="I34" s="144" t="str">
        <f>Equations!D601</f>
        <v>D1</v>
      </c>
      <c r="J34" s="144" t="str">
        <f>Equations!E601</f>
        <v>D2</v>
      </c>
      <c r="K34" s="144" t="str">
        <f>Equations!F601</f>
        <v>D3</v>
      </c>
      <c r="L34" s="144" t="str">
        <f>Equations!G601</f>
        <v>D4</v>
      </c>
      <c r="M34" s="144" t="str">
        <f>Equations!H601</f>
        <v>D5</v>
      </c>
      <c r="N34" s="145" t="str">
        <f>Equations!I601</f>
        <v>D6</v>
      </c>
      <c r="O34" s="145" t="str">
        <f>Equations!J601</f>
        <v>D7</v>
      </c>
      <c r="P34" s="145" t="str">
        <f>Equations!K601</f>
        <v>D8</v>
      </c>
      <c r="Q34" s="145" t="str">
        <f>Equations!L601</f>
        <v>D9</v>
      </c>
      <c r="R34" s="145" t="str">
        <f>Equations!M601</f>
        <v>D10</v>
      </c>
      <c r="S34" s="41" t="s">
        <v>59</v>
      </c>
      <c r="T34" s="531" t="s">
        <v>60</v>
      </c>
      <c r="U34" s="532" t="s">
        <v>61</v>
      </c>
      <c r="V34" s="534" t="s">
        <v>86</v>
      </c>
      <c r="W34" s="533" t="s">
        <v>86</v>
      </c>
      <c r="X34" s="23"/>
    </row>
    <row r="35" spans="1:30" ht="21" customHeight="1" x14ac:dyDescent="0.25">
      <c r="A35" s="16"/>
      <c r="B35" s="22"/>
      <c r="C35" s="668" t="s">
        <v>91</v>
      </c>
      <c r="D35" s="491" t="str">
        <f>Equations!B602</f>
        <v>Airflow @ 100% Damper and 40 Pa</v>
      </c>
      <c r="E35" s="491"/>
      <c r="F35" s="491"/>
      <c r="G35" s="492" t="str">
        <f>Equations!$D$3</f>
        <v>[L/s]</v>
      </c>
      <c r="H35" s="319">
        <f>Equations!C602</f>
        <v>254</v>
      </c>
      <c r="I35" s="319">
        <f>Equations!D602</f>
        <v>213</v>
      </c>
      <c r="J35" s="319">
        <f>Equations!E602</f>
        <v>179</v>
      </c>
      <c r="K35" s="319">
        <f>Equations!F602</f>
        <v>157</v>
      </c>
      <c r="L35" s="319">
        <f>Equations!G602</f>
        <v>131</v>
      </c>
      <c r="M35" s="319">
        <f>Equations!H602</f>
        <v>116</v>
      </c>
      <c r="N35" s="319">
        <f>Equations!I602</f>
        <v>97</v>
      </c>
      <c r="O35" s="319">
        <f>Equations!J602</f>
        <v>79</v>
      </c>
      <c r="P35" s="319">
        <f>Equations!K602</f>
        <v>69</v>
      </c>
      <c r="Q35" s="319">
        <f>Equations!L602</f>
        <v>60</v>
      </c>
      <c r="R35" s="319">
        <f>Equations!M602</f>
        <v>51</v>
      </c>
      <c r="S35" s="320"/>
      <c r="T35" s="17"/>
      <c r="U35" s="17"/>
      <c r="V35" s="17"/>
      <c r="W35" s="17"/>
      <c r="X35" s="23"/>
    </row>
    <row r="36" spans="1:30" ht="21" customHeight="1" x14ac:dyDescent="0.25">
      <c r="A36" s="16"/>
      <c r="B36" s="22"/>
      <c r="C36" s="669"/>
      <c r="D36" s="158" t="s">
        <v>626</v>
      </c>
      <c r="E36" s="158"/>
      <c r="F36" s="158"/>
      <c r="G36" s="171" t="str">
        <f>Equations!$D$3</f>
        <v>[L/s]</v>
      </c>
      <c r="H36" s="318">
        <f>Equations!C603</f>
        <v>100</v>
      </c>
      <c r="I36" s="318">
        <f>Equations!D603</f>
        <v>100</v>
      </c>
      <c r="J36" s="318">
        <f>Equations!E603</f>
        <v>100</v>
      </c>
      <c r="K36" s="318">
        <f>Equations!F603</f>
        <v>100</v>
      </c>
      <c r="L36" s="318">
        <f>Equations!G603</f>
        <v>100</v>
      </c>
      <c r="M36" s="318">
        <f>Equations!H603</f>
        <v>100</v>
      </c>
      <c r="N36" s="318">
        <f>Equations!I603</f>
        <v>100</v>
      </c>
      <c r="O36" s="318">
        <f>Equations!J603</f>
        <v>100</v>
      </c>
      <c r="P36" s="318">
        <f>Equations!K603</f>
        <v>100</v>
      </c>
      <c r="Q36" s="318">
        <f>Equations!L603</f>
        <v>100</v>
      </c>
      <c r="R36" s="318">
        <f>Equations!M603</f>
        <v>100</v>
      </c>
      <c r="S36" s="581"/>
      <c r="T36" s="397"/>
      <c r="U36" s="17"/>
      <c r="V36" s="17"/>
      <c r="W36" s="17"/>
      <c r="X36" s="23"/>
      <c r="AA36" s="718"/>
      <c r="AB36" s="719"/>
    </row>
    <row r="37" spans="1:30" ht="21" customHeight="1" x14ac:dyDescent="0.25">
      <c r="A37" s="16"/>
      <c r="B37" s="22"/>
      <c r="C37" s="669"/>
      <c r="D37" s="158" t="s">
        <v>620</v>
      </c>
      <c r="E37" s="158"/>
      <c r="F37" s="158"/>
      <c r="G37" s="171" t="s">
        <v>268</v>
      </c>
      <c r="H37" s="318" t="str">
        <f>Equations!C604</f>
        <v>40.0</v>
      </c>
      <c r="I37" s="318" t="str">
        <f>Equations!D604</f>
        <v>40.0</v>
      </c>
      <c r="J37" s="318" t="str">
        <f>Equations!E604</f>
        <v>40.0</v>
      </c>
      <c r="K37" s="318" t="str">
        <f>Equations!F604</f>
        <v>40.0</v>
      </c>
      <c r="L37" s="318" t="str">
        <f>Equations!G604</f>
        <v>40.0</v>
      </c>
      <c r="M37" s="318" t="str">
        <f>Equations!H604</f>
        <v>40.0</v>
      </c>
      <c r="N37" s="318" t="str">
        <f>Equations!I604</f>
        <v>40.0</v>
      </c>
      <c r="O37" s="318" t="str">
        <f>Equations!J604</f>
        <v>40.0</v>
      </c>
      <c r="P37" s="318" t="str">
        <f>Equations!K604</f>
        <v>40.0</v>
      </c>
      <c r="Q37" s="318" t="str">
        <f>Equations!L604</f>
        <v>40.0</v>
      </c>
      <c r="R37" s="318" t="str">
        <f>Equations!M604</f>
        <v>40.0</v>
      </c>
      <c r="S37" s="581" t="str">
        <f>Data!B16</f>
        <v>¹ Motorised pressure control damper - static pressure controlled to ≤ 50 Pa</v>
      </c>
      <c r="T37" s="17"/>
      <c r="U37" s="17"/>
      <c r="V37" s="17"/>
      <c r="W37" s="17"/>
      <c r="X37" s="23"/>
    </row>
    <row r="38" spans="1:30" ht="21" customHeight="1" x14ac:dyDescent="0.25">
      <c r="A38" s="16"/>
      <c r="B38" s="22"/>
      <c r="C38" s="669"/>
      <c r="D38" s="158" t="str">
        <f>Equations!B605</f>
        <v>Damper Position at 100 L/s and 40 Pa</v>
      </c>
      <c r="E38" s="158"/>
      <c r="F38" s="158"/>
      <c r="G38" s="171"/>
      <c r="H38" s="671">
        <f ca="1">Equations!C605</f>
        <v>0.27</v>
      </c>
      <c r="I38" s="671">
        <f ca="1">Equations!D605</f>
        <v>0.34</v>
      </c>
      <c r="J38" s="671">
        <f ca="1">Equations!E605</f>
        <v>0.44</v>
      </c>
      <c r="K38" s="671">
        <f ca="1">Equations!F605</f>
        <v>0.55000000000000004</v>
      </c>
      <c r="L38" s="671">
        <f ca="1">Equations!G605</f>
        <v>0.67</v>
      </c>
      <c r="M38" s="671">
        <f ca="1">Equations!H605</f>
        <v>0.78</v>
      </c>
      <c r="N38" s="671" t="str">
        <f ca="1">Equations!I605</f>
        <v>-</v>
      </c>
      <c r="O38" s="671" t="str">
        <f ca="1">Equations!J605</f>
        <v>-</v>
      </c>
      <c r="P38" s="671" t="str">
        <f ca="1">Equations!K605</f>
        <v>-</v>
      </c>
      <c r="Q38" s="671" t="str">
        <f ca="1">Equations!L605</f>
        <v>-</v>
      </c>
      <c r="R38" s="671" t="str">
        <f ca="1">Equations!M605</f>
        <v>-</v>
      </c>
      <c r="S38" s="17"/>
      <c r="T38" s="397"/>
      <c r="U38" s="17"/>
      <c r="V38" s="17"/>
      <c r="W38" s="17"/>
      <c r="X38" s="23"/>
      <c r="AA38" s="427"/>
      <c r="AB38" s="428"/>
    </row>
    <row r="39" spans="1:30" ht="21" customHeight="1" x14ac:dyDescent="0.25">
      <c r="A39" s="16"/>
      <c r="B39" s="22"/>
      <c r="C39" s="670"/>
      <c r="D39" s="674" t="s">
        <v>744</v>
      </c>
      <c r="E39" s="675"/>
      <c r="F39" s="676"/>
      <c r="G39" s="673" t="s">
        <v>268</v>
      </c>
      <c r="H39" s="672">
        <f>Equations!C606</f>
        <v>6.2</v>
      </c>
      <c r="I39" s="672">
        <f>Equations!D606</f>
        <v>8.8000000000000007</v>
      </c>
      <c r="J39" s="672">
        <f>Equations!E606</f>
        <v>12.4</v>
      </c>
      <c r="K39" s="672">
        <f>Equations!F606</f>
        <v>16.3</v>
      </c>
      <c r="L39" s="672">
        <f>Equations!G606</f>
        <v>23.1</v>
      </c>
      <c r="M39" s="672">
        <f>Equations!H606</f>
        <v>29.5</v>
      </c>
      <c r="N39" s="672">
        <f>Equations!I606</f>
        <v>42.5</v>
      </c>
      <c r="O39" s="672">
        <f>Equations!J606</f>
        <v>64.099999999999994</v>
      </c>
      <c r="P39" s="672">
        <f>Equations!K606</f>
        <v>84.9</v>
      </c>
      <c r="Q39" s="672">
        <f>Equations!L606</f>
        <v>112.6</v>
      </c>
      <c r="R39" s="672">
        <f>Equations!M606</f>
        <v>156.4</v>
      </c>
      <c r="S39" s="430"/>
      <c r="T39" s="17"/>
      <c r="U39" s="17"/>
      <c r="V39" s="17"/>
      <c r="W39" s="17"/>
      <c r="X39" s="23"/>
    </row>
    <row r="40" spans="1:30" ht="21" customHeight="1" x14ac:dyDescent="0.25">
      <c r="A40" s="16"/>
      <c r="B40" s="22"/>
      <c r="C40" s="694" t="s">
        <v>721</v>
      </c>
      <c r="D40" s="36" t="s">
        <v>276</v>
      </c>
      <c r="E40" s="158"/>
      <c r="F40" s="158"/>
      <c r="G40" s="171"/>
      <c r="H40" s="677">
        <f>Equations!C607</f>
        <v>0.3</v>
      </c>
      <c r="I40" s="677">
        <f>Equations!D607</f>
        <v>0.3</v>
      </c>
      <c r="J40" s="677">
        <f>Equations!E607</f>
        <v>0.3</v>
      </c>
      <c r="K40" s="677">
        <f>Equations!F607</f>
        <v>0.3</v>
      </c>
      <c r="L40" s="677">
        <f>Equations!G607</f>
        <v>0.3</v>
      </c>
      <c r="M40" s="677">
        <f>Equations!H607</f>
        <v>0.3</v>
      </c>
      <c r="N40" s="677">
        <f>Equations!I607</f>
        <v>0.3</v>
      </c>
      <c r="O40" s="677">
        <f>Equations!J607</f>
        <v>0.3</v>
      </c>
      <c r="P40" s="677">
        <f>Equations!K607</f>
        <v>0.3</v>
      </c>
      <c r="Q40" s="677">
        <f>Equations!L607</f>
        <v>0.3</v>
      </c>
      <c r="R40" s="677">
        <f>Equations!M607</f>
        <v>0.3</v>
      </c>
      <c r="S40" s="321"/>
      <c r="T40" s="17"/>
      <c r="U40" s="17"/>
      <c r="V40" s="17"/>
      <c r="W40" s="17"/>
      <c r="X40" s="23"/>
    </row>
    <row r="41" spans="1:30" ht="21" customHeight="1" x14ac:dyDescent="0.25">
      <c r="A41" s="16"/>
      <c r="B41" s="22"/>
      <c r="C41" s="694"/>
      <c r="D41" s="36" t="s">
        <v>275</v>
      </c>
      <c r="E41" s="158"/>
      <c r="F41" s="158"/>
      <c r="G41" s="171" t="str">
        <f>Equations!$D$3</f>
        <v>[L/s]</v>
      </c>
      <c r="H41" s="318">
        <f>Equations!C608</f>
        <v>30</v>
      </c>
      <c r="I41" s="318">
        <f>Equations!D608</f>
        <v>30</v>
      </c>
      <c r="J41" s="318">
        <f>Equations!E608</f>
        <v>30</v>
      </c>
      <c r="K41" s="318">
        <f>Equations!F608</f>
        <v>30</v>
      </c>
      <c r="L41" s="318">
        <f>Equations!G608</f>
        <v>30</v>
      </c>
      <c r="M41" s="318">
        <f>Equations!H608</f>
        <v>30</v>
      </c>
      <c r="N41" s="318">
        <f>Equations!I608</f>
        <v>30</v>
      </c>
      <c r="O41" s="318">
        <f>Equations!J608</f>
        <v>30</v>
      </c>
      <c r="P41" s="318">
        <f>Equations!K608</f>
        <v>30</v>
      </c>
      <c r="Q41" s="318">
        <f>Equations!L608</f>
        <v>30</v>
      </c>
      <c r="R41" s="318">
        <f>Equations!M608</f>
        <v>30</v>
      </c>
      <c r="S41" s="320"/>
      <c r="T41" s="17"/>
      <c r="U41" s="17"/>
      <c r="V41" s="17"/>
      <c r="W41" s="17"/>
      <c r="X41" s="23"/>
      <c r="AB41" s="720"/>
      <c r="AC41" s="720"/>
      <c r="AD41" s="720"/>
    </row>
    <row r="42" spans="1:30" ht="21" customHeight="1" x14ac:dyDescent="0.25">
      <c r="A42" s="16"/>
      <c r="B42" s="22"/>
      <c r="C42" s="694"/>
      <c r="D42" s="448" t="s">
        <v>57</v>
      </c>
      <c r="E42" s="177"/>
      <c r="F42" s="177"/>
      <c r="G42" s="171"/>
      <c r="H42" s="446">
        <f>Equations!C609</f>
        <v>0.22</v>
      </c>
      <c r="I42" s="446">
        <f>Equations!D609</f>
        <v>0.185</v>
      </c>
      <c r="J42" s="446">
        <f>Equations!E609</f>
        <v>0.155</v>
      </c>
      <c r="K42" s="446">
        <f>Equations!F609</f>
        <v>0.13600000000000001</v>
      </c>
      <c r="L42" s="446">
        <f>Equations!G609</f>
        <v>0.114</v>
      </c>
      <c r="M42" s="446">
        <f>Equations!H609</f>
        <v>0.10100000000000001</v>
      </c>
      <c r="N42" s="446">
        <f>Equations!I609</f>
        <v>0.1</v>
      </c>
      <c r="O42" s="446">
        <f>Equations!J609</f>
        <v>0.1</v>
      </c>
      <c r="P42" s="446">
        <f>Equations!K609</f>
        <v>0.1</v>
      </c>
      <c r="Q42" s="446">
        <f>Equations!L609</f>
        <v>0.1</v>
      </c>
      <c r="R42" s="446">
        <f>Equations!M609</f>
        <v>0.1</v>
      </c>
      <c r="S42" s="321"/>
      <c r="T42" s="17"/>
      <c r="U42" s="17"/>
      <c r="V42" s="17"/>
      <c r="W42" s="17"/>
      <c r="X42" s="23" t="s">
        <v>147</v>
      </c>
    </row>
    <row r="43" spans="1:30" ht="21" customHeight="1" x14ac:dyDescent="0.25">
      <c r="A43" s="16"/>
      <c r="B43" s="22"/>
      <c r="C43" s="695"/>
      <c r="D43" s="35" t="s">
        <v>55</v>
      </c>
      <c r="E43" s="177"/>
      <c r="F43" s="177"/>
      <c r="G43" s="171" t="str">
        <f>Equations!$D$3</f>
        <v>[L/s]</v>
      </c>
      <c r="H43" s="319">
        <f>Equations!C610</f>
        <v>22</v>
      </c>
      <c r="I43" s="319">
        <f>Equations!D610</f>
        <v>18.5</v>
      </c>
      <c r="J43" s="319">
        <f>Equations!E610</f>
        <v>15.5</v>
      </c>
      <c r="K43" s="319">
        <f>Equations!F610</f>
        <v>13.6</v>
      </c>
      <c r="L43" s="319">
        <f>Equations!G610</f>
        <v>11.4</v>
      </c>
      <c r="M43" s="319">
        <f>Equations!H610</f>
        <v>10.1</v>
      </c>
      <c r="N43" s="319">
        <f>Equations!I610</f>
        <v>10</v>
      </c>
      <c r="O43" s="319">
        <f>Equations!J610</f>
        <v>10</v>
      </c>
      <c r="P43" s="319">
        <f>Equations!K610</f>
        <v>10</v>
      </c>
      <c r="Q43" s="319">
        <f>Equations!L610</f>
        <v>10</v>
      </c>
      <c r="R43" s="319">
        <f>Equations!M610</f>
        <v>10</v>
      </c>
      <c r="S43" s="320"/>
      <c r="T43" s="17"/>
      <c r="U43" s="17"/>
      <c r="V43" s="17"/>
      <c r="W43" s="17"/>
      <c r="X43" s="23"/>
    </row>
    <row r="44" spans="1:30" ht="21" customHeight="1" x14ac:dyDescent="0.25">
      <c r="A44" s="16"/>
      <c r="B44" s="104"/>
      <c r="C44" s="694" t="s">
        <v>214</v>
      </c>
      <c r="D44" s="537" t="s">
        <v>292</v>
      </c>
      <c r="E44" s="538"/>
      <c r="F44" s="174"/>
      <c r="G44" s="179" t="s">
        <v>271</v>
      </c>
      <c r="H44" s="138">
        <f ca="1">Equations!C611</f>
        <v>8.3000000000000007</v>
      </c>
      <c r="I44" s="138">
        <f ca="1">Equations!D611</f>
        <v>9.4</v>
      </c>
      <c r="J44" s="138">
        <f ca="1">Equations!E611</f>
        <v>10.4</v>
      </c>
      <c r="K44" s="138">
        <f ca="1">Equations!F611</f>
        <v>11.2</v>
      </c>
      <c r="L44" s="138">
        <f ca="1">Equations!G611</f>
        <v>12.1</v>
      </c>
      <c r="M44" s="138">
        <f ca="1">Equations!H611</f>
        <v>12.9</v>
      </c>
      <c r="N44" s="138">
        <f ca="1">Equations!I611</f>
        <v>13.7</v>
      </c>
      <c r="O44" s="138">
        <f ca="1">Equations!J611</f>
        <v>14.6</v>
      </c>
      <c r="P44" s="138">
        <f ca="1">Equations!K611</f>
        <v>15</v>
      </c>
      <c r="Q44" s="138">
        <f ca="1">Equations!L611</f>
        <v>15</v>
      </c>
      <c r="R44" s="138">
        <f ca="1">Equations!M611</f>
        <v>15</v>
      </c>
      <c r="S44" s="389"/>
      <c r="T44" s="113"/>
      <c r="U44" s="167"/>
      <c r="V44" s="43"/>
      <c r="W44" s="43"/>
      <c r="X44" s="44"/>
    </row>
    <row r="45" spans="1:30" ht="21" customHeight="1" x14ac:dyDescent="0.25">
      <c r="A45" s="16"/>
      <c r="B45" s="104"/>
      <c r="C45" s="696"/>
      <c r="D45" s="59" t="s">
        <v>293</v>
      </c>
      <c r="E45" s="158"/>
      <c r="F45" s="158"/>
      <c r="G45" s="171" t="s">
        <v>271</v>
      </c>
      <c r="H45" s="137">
        <f ca="1">Equations!C612</f>
        <v>5.6</v>
      </c>
      <c r="I45" s="137">
        <f ca="1">Equations!D612</f>
        <v>6.2</v>
      </c>
      <c r="J45" s="137">
        <f ca="1">Equations!E612</f>
        <v>6.9</v>
      </c>
      <c r="K45" s="137">
        <f ca="1">Equations!F612</f>
        <v>7.4</v>
      </c>
      <c r="L45" s="137">
        <f ca="1">Equations!G612</f>
        <v>8.1</v>
      </c>
      <c r="M45" s="137">
        <f ca="1">Equations!H612</f>
        <v>8.6</v>
      </c>
      <c r="N45" s="137">
        <f ca="1">Equations!I612</f>
        <v>9.1</v>
      </c>
      <c r="O45" s="137">
        <f ca="1">Equations!J612</f>
        <v>9.6999999999999993</v>
      </c>
      <c r="P45" s="137">
        <f ca="1">Equations!K612</f>
        <v>10</v>
      </c>
      <c r="Q45" s="137">
        <f ca="1">Equations!L612</f>
        <v>10.4</v>
      </c>
      <c r="R45" s="137">
        <f ca="1">Equations!M612</f>
        <v>10.7</v>
      </c>
      <c r="S45" s="390"/>
      <c r="T45" s="102"/>
      <c r="U45" s="103"/>
      <c r="V45" s="43"/>
      <c r="W45" s="43"/>
      <c r="X45" s="44"/>
    </row>
    <row r="46" spans="1:30" ht="21" customHeight="1" x14ac:dyDescent="0.25">
      <c r="B46" s="22"/>
      <c r="C46" s="698" t="s">
        <v>312</v>
      </c>
      <c r="D46" s="174" t="s">
        <v>326</v>
      </c>
      <c r="E46" s="174"/>
      <c r="F46" s="174"/>
      <c r="G46" s="179" t="s">
        <v>272</v>
      </c>
      <c r="H46" s="37">
        <f>Equations!C613</f>
        <v>8.4</v>
      </c>
      <c r="I46" s="37">
        <f>Equations!D613</f>
        <v>8.5</v>
      </c>
      <c r="J46" s="37">
        <f>Equations!E613</f>
        <v>8.6999999999999993</v>
      </c>
      <c r="K46" s="37">
        <f>Equations!F613</f>
        <v>8.8000000000000007</v>
      </c>
      <c r="L46" s="37">
        <f>Equations!G613</f>
        <v>9.1999999999999993</v>
      </c>
      <c r="M46" s="37">
        <f>Equations!H613</f>
        <v>9.3000000000000007</v>
      </c>
      <c r="N46" s="37">
        <f>Equations!I613</f>
        <v>9.3000000000000007</v>
      </c>
      <c r="O46" s="37">
        <f>Equations!J613</f>
        <v>9.3000000000000007</v>
      </c>
      <c r="P46" s="37">
        <f>Equations!K613</f>
        <v>9.3000000000000007</v>
      </c>
      <c r="Q46" s="37">
        <f>Equations!L613</f>
        <v>9.3000000000000007</v>
      </c>
      <c r="R46" s="37">
        <f>Equations!M613</f>
        <v>9.3000000000000007</v>
      </c>
      <c r="S46" s="320"/>
      <c r="T46" s="102"/>
      <c r="U46" s="389"/>
      <c r="V46" s="43"/>
      <c r="W46" s="43"/>
      <c r="X46" s="189"/>
    </row>
    <row r="47" spans="1:30" ht="21" customHeight="1" x14ac:dyDescent="0.25">
      <c r="B47" s="22"/>
      <c r="C47" s="699"/>
      <c r="D47" s="158" t="s">
        <v>327</v>
      </c>
      <c r="E47" s="158"/>
      <c r="F47" s="158"/>
      <c r="G47" s="171" t="s">
        <v>272</v>
      </c>
      <c r="H47" s="60">
        <f>Equations!C614</f>
        <v>7.5</v>
      </c>
      <c r="I47" s="38">
        <f>Equations!D614</f>
        <v>7.6</v>
      </c>
      <c r="J47" s="38">
        <f>Equations!E614</f>
        <v>7.8</v>
      </c>
      <c r="K47" s="38">
        <f>Equations!F614</f>
        <v>8</v>
      </c>
      <c r="L47" s="38">
        <f>Equations!G614</f>
        <v>8.3000000000000007</v>
      </c>
      <c r="M47" s="38">
        <f>Equations!H614</f>
        <v>8.6</v>
      </c>
      <c r="N47" s="38">
        <f>Equations!I614</f>
        <v>9.3000000000000007</v>
      </c>
      <c r="O47" s="38">
        <f>Equations!J614</f>
        <v>9.3000000000000007</v>
      </c>
      <c r="P47" s="38">
        <f>Equations!K614</f>
        <v>9.3000000000000007</v>
      </c>
      <c r="Q47" s="38">
        <f>Equations!L614</f>
        <v>9.3000000000000007</v>
      </c>
      <c r="R47" s="38">
        <f>Equations!M614</f>
        <v>9.3000000000000007</v>
      </c>
      <c r="S47" s="320"/>
      <c r="T47" s="194"/>
      <c r="U47" s="390"/>
      <c r="V47" s="195"/>
      <c r="W47" s="195"/>
      <c r="X47" s="189"/>
    </row>
    <row r="48" spans="1:30" ht="21" customHeight="1" x14ac:dyDescent="0.25">
      <c r="B48" s="22"/>
      <c r="C48" s="699"/>
      <c r="D48" s="158" t="s">
        <v>311</v>
      </c>
      <c r="E48" s="158"/>
      <c r="F48" s="158"/>
      <c r="G48" s="171" t="s">
        <v>272</v>
      </c>
      <c r="H48" s="60">
        <f>Equations!C615</f>
        <v>2.2999999999999998</v>
      </c>
      <c r="I48" s="38">
        <f>Equations!D615</f>
        <v>2.2999999999999998</v>
      </c>
      <c r="J48" s="38">
        <f>Equations!E615</f>
        <v>2.4</v>
      </c>
      <c r="K48" s="38">
        <f>Equations!F615</f>
        <v>2.4</v>
      </c>
      <c r="L48" s="38">
        <f>Equations!G615</f>
        <v>2.4</v>
      </c>
      <c r="M48" s="38">
        <f>Equations!H615</f>
        <v>2.5</v>
      </c>
      <c r="N48" s="38">
        <f>Equations!I615</f>
        <v>2.6</v>
      </c>
      <c r="O48" s="38">
        <f>Equations!J615</f>
        <v>2.7</v>
      </c>
      <c r="P48" s="38">
        <f>Equations!K615</f>
        <v>2.9</v>
      </c>
      <c r="Q48" s="38">
        <f>Equations!L615</f>
        <v>3.1</v>
      </c>
      <c r="R48" s="38">
        <f>Equations!M615</f>
        <v>3.4</v>
      </c>
      <c r="S48" s="197"/>
      <c r="T48" s="194"/>
      <c r="U48" s="195"/>
      <c r="V48" s="131"/>
      <c r="W48" s="195"/>
      <c r="X48" s="391"/>
    </row>
    <row r="49" spans="1:24" ht="21" customHeight="1" x14ac:dyDescent="0.25">
      <c r="B49" s="22"/>
      <c r="C49" s="700"/>
      <c r="D49" s="40" t="s">
        <v>283</v>
      </c>
      <c r="E49" s="180"/>
      <c r="F49" s="176"/>
      <c r="G49" s="178" t="s">
        <v>272</v>
      </c>
      <c r="H49" s="39">
        <f>Equations!C616</f>
        <v>2.2000000000000002</v>
      </c>
      <c r="I49" s="39">
        <f>Equations!D616</f>
        <v>2.2000000000000002</v>
      </c>
      <c r="J49" s="39">
        <f>Equations!E616</f>
        <v>2.2000000000000002</v>
      </c>
      <c r="K49" s="39">
        <f>Equations!F616</f>
        <v>2.2000000000000002</v>
      </c>
      <c r="L49" s="39">
        <f>Equations!G616</f>
        <v>2.2000000000000002</v>
      </c>
      <c r="M49" s="39">
        <f>Equations!H616</f>
        <v>2.2000000000000002</v>
      </c>
      <c r="N49" s="39">
        <f>Equations!I616</f>
        <v>2.2000000000000002</v>
      </c>
      <c r="O49" s="39">
        <f>Equations!J616</f>
        <v>2.2999999999999998</v>
      </c>
      <c r="P49" s="39">
        <f>Equations!K616</f>
        <v>2.2999999999999998</v>
      </c>
      <c r="Q49" s="39">
        <f>Equations!L616</f>
        <v>2.2999999999999998</v>
      </c>
      <c r="R49" s="39">
        <f>Equations!M616</f>
        <v>2.2999999999999998</v>
      </c>
      <c r="S49" s="425"/>
      <c r="T49" s="17"/>
      <c r="U49" s="17"/>
      <c r="V49" s="49"/>
      <c r="W49" s="17"/>
      <c r="X49" s="23"/>
    </row>
    <row r="50" spans="1:24" ht="21" customHeight="1" x14ac:dyDescent="0.25">
      <c r="B50" s="22"/>
      <c r="C50" s="694" t="s">
        <v>313</v>
      </c>
      <c r="D50" s="175" t="s">
        <v>277</v>
      </c>
      <c r="E50" s="174"/>
      <c r="F50" s="158"/>
      <c r="G50" s="171" t="s">
        <v>273</v>
      </c>
      <c r="H50" s="114">
        <f ca="1">Equations!C617</f>
        <v>0.11</v>
      </c>
      <c r="I50" s="115">
        <f ca="1">Equations!D617</f>
        <v>0.11</v>
      </c>
      <c r="J50" s="116">
        <f ca="1">Equations!E617</f>
        <v>0.11</v>
      </c>
      <c r="K50" s="116">
        <f ca="1">Equations!F617</f>
        <v>0.11</v>
      </c>
      <c r="L50" s="116">
        <f ca="1">Equations!G617</f>
        <v>0.12</v>
      </c>
      <c r="M50" s="116">
        <f ca="1">Equations!H617</f>
        <v>0.12</v>
      </c>
      <c r="N50" s="116">
        <f ca="1">Equations!I617</f>
        <v>0.12</v>
      </c>
      <c r="O50" s="116">
        <f ca="1">Equations!J617</f>
        <v>0.13</v>
      </c>
      <c r="P50" s="116">
        <f ca="1">Equations!K617</f>
        <v>0.13</v>
      </c>
      <c r="Q50" s="116">
        <f ca="1">Equations!L617</f>
        <v>0.13</v>
      </c>
      <c r="R50" s="116">
        <f ca="1">Equations!M617</f>
        <v>0.14000000000000001</v>
      </c>
      <c r="S50" s="706" t="str">
        <f ca="1">Data!$B$10</f>
        <v>Comfort criteria for specific flowrate of 2.9 L/s/m² (average diffuser spacing of 5.9 m) &amp; room temperature of 23°C</v>
      </c>
      <c r="T50" s="707"/>
      <c r="U50" s="707"/>
      <c r="V50" s="707"/>
      <c r="W50" s="707"/>
      <c r="X50" s="708"/>
    </row>
    <row r="51" spans="1:24" ht="21" customHeight="1" x14ac:dyDescent="0.25">
      <c r="B51" s="22"/>
      <c r="C51" s="694"/>
      <c r="D51" s="158" t="s">
        <v>278</v>
      </c>
      <c r="E51" s="158"/>
      <c r="F51" s="158"/>
      <c r="G51" s="171" t="s">
        <v>117</v>
      </c>
      <c r="H51" s="42">
        <f ca="1">Equations!C618</f>
        <v>8.7999999999999995E-2</v>
      </c>
      <c r="I51" s="42">
        <f ca="1">Equations!D618</f>
        <v>0.09</v>
      </c>
      <c r="J51" s="42">
        <f ca="1">Equations!E618</f>
        <v>9.2999999999999999E-2</v>
      </c>
      <c r="K51" s="42">
        <f ca="1">Equations!F618</f>
        <v>9.5000000000000001E-2</v>
      </c>
      <c r="L51" s="42">
        <f ca="1">Equations!G618</f>
        <v>9.8000000000000004E-2</v>
      </c>
      <c r="M51" s="42">
        <f ca="1">Equations!H618</f>
        <v>0.10100000000000001</v>
      </c>
      <c r="N51" s="42">
        <f ca="1">Equations!I618</f>
        <v>0.106</v>
      </c>
      <c r="O51" s="42">
        <f ca="1">Equations!J618</f>
        <v>0.111</v>
      </c>
      <c r="P51" s="42">
        <f ca="1">Equations!K618</f>
        <v>0.11600000000000001</v>
      </c>
      <c r="Q51" s="42">
        <f ca="1">Equations!L618</f>
        <v>0.121</v>
      </c>
      <c r="R51" s="42">
        <f ca="1">Equations!M618</f>
        <v>0.127</v>
      </c>
      <c r="S51" s="706"/>
      <c r="T51" s="707"/>
      <c r="U51" s="707"/>
      <c r="V51" s="707"/>
      <c r="W51" s="707"/>
      <c r="X51" s="708"/>
    </row>
    <row r="52" spans="1:24" ht="21" customHeight="1" x14ac:dyDescent="0.25">
      <c r="B52" s="22"/>
      <c r="C52" s="694"/>
      <c r="D52" s="158" t="s">
        <v>135</v>
      </c>
      <c r="E52" s="158"/>
      <c r="F52" s="158"/>
      <c r="G52" s="171"/>
      <c r="H52" s="42">
        <f ca="1">Equations!C619</f>
        <v>5.6000000000000001E-2</v>
      </c>
      <c r="I52" s="112">
        <f ca="1">Equations!D619</f>
        <v>5.7000000000000002E-2</v>
      </c>
      <c r="J52" s="42">
        <f ca="1">Equations!E619</f>
        <v>5.7000000000000002E-2</v>
      </c>
      <c r="K52" s="42">
        <f ca="1">Equations!F619</f>
        <v>5.8000000000000003E-2</v>
      </c>
      <c r="L52" s="42">
        <f ca="1">Equations!G619</f>
        <v>5.8999999999999997E-2</v>
      </c>
      <c r="M52" s="42">
        <f ca="1">Equations!H619</f>
        <v>0.06</v>
      </c>
      <c r="N52" s="42">
        <f ca="1">Equations!I619</f>
        <v>6.2E-2</v>
      </c>
      <c r="O52" s="42">
        <f ca="1">Equations!J619</f>
        <v>6.4000000000000001E-2</v>
      </c>
      <c r="P52" s="42">
        <f ca="1">Equations!K619</f>
        <v>6.6000000000000003E-2</v>
      </c>
      <c r="Q52" s="42">
        <f ca="1">Equations!L619</f>
        <v>6.7000000000000004E-2</v>
      </c>
      <c r="R52" s="42">
        <f ca="1">Equations!M619</f>
        <v>7.0000000000000007E-2</v>
      </c>
      <c r="S52" s="388"/>
      <c r="T52" s="17"/>
      <c r="U52" s="100"/>
      <c r="V52" s="100"/>
      <c r="W52" s="100"/>
      <c r="X52" s="101"/>
    </row>
    <row r="53" spans="1:24" ht="21" customHeight="1" x14ac:dyDescent="0.25">
      <c r="B53" s="22"/>
      <c r="C53" s="694"/>
      <c r="D53" s="158" t="s">
        <v>279</v>
      </c>
      <c r="E53" s="158"/>
      <c r="F53" s="158"/>
      <c r="G53" s="652" t="s">
        <v>280</v>
      </c>
      <c r="H53" s="42" t="str">
        <f ca="1">Equations!C620</f>
        <v>A</v>
      </c>
      <c r="I53" s="112" t="str">
        <f ca="1">Equations!D620</f>
        <v>A</v>
      </c>
      <c r="J53" s="139" t="str">
        <f ca="1">Equations!E620</f>
        <v>A</v>
      </c>
      <c r="K53" s="42" t="str">
        <f ca="1">Equations!F620</f>
        <v>A</v>
      </c>
      <c r="L53" s="112" t="str">
        <f ca="1">Equations!G620</f>
        <v>A</v>
      </c>
      <c r="M53" s="139" t="str">
        <f ca="1">Equations!H620</f>
        <v>B</v>
      </c>
      <c r="N53" s="42" t="str">
        <f ca="1">Equations!I620</f>
        <v>B</v>
      </c>
      <c r="O53" s="42" t="str">
        <f ca="1">Equations!J620</f>
        <v>B</v>
      </c>
      <c r="P53" s="42" t="str">
        <f ca="1">Equations!K620</f>
        <v>B</v>
      </c>
      <c r="Q53" s="42" t="str">
        <f ca="1">Equations!L620</f>
        <v>B</v>
      </c>
      <c r="R53" s="42" t="str">
        <f ca="1">Equations!M620</f>
        <v>B</v>
      </c>
      <c r="S53" s="388"/>
      <c r="T53" s="17"/>
      <c r="U53" s="100"/>
      <c r="V53" s="100"/>
      <c r="W53" s="100"/>
      <c r="X53" s="101"/>
    </row>
    <row r="54" spans="1:24" ht="21" customHeight="1" thickBot="1" x14ac:dyDescent="0.3">
      <c r="B54" s="22"/>
      <c r="C54" s="696"/>
      <c r="D54" s="176" t="s">
        <v>281</v>
      </c>
      <c r="E54" s="176"/>
      <c r="F54" s="424"/>
      <c r="G54" s="181" t="s">
        <v>282</v>
      </c>
      <c r="H54" s="38" t="str">
        <f ca="1">Equations!C621</f>
        <v>&lt; 0.2</v>
      </c>
      <c r="I54" s="445" t="str">
        <f ca="1">Equations!D621</f>
        <v>&lt; 0.2</v>
      </c>
      <c r="J54" s="461" t="str">
        <f ca="1">Equations!E621</f>
        <v>&lt; 0.2</v>
      </c>
      <c r="K54" s="38" t="str">
        <f ca="1">Equations!F621</f>
        <v>&lt; 0.2</v>
      </c>
      <c r="L54" s="445" t="str">
        <f ca="1">Equations!G621</f>
        <v>&lt; 0.2</v>
      </c>
      <c r="M54" s="461" t="str">
        <f ca="1">Equations!H621</f>
        <v>&lt; 0.2</v>
      </c>
      <c r="N54" s="38" t="str">
        <f ca="1">Equations!I621</f>
        <v>&lt; 0.2</v>
      </c>
      <c r="O54" s="38" t="str">
        <f ca="1">Equations!J621</f>
        <v>&lt; 0.2</v>
      </c>
      <c r="P54" s="38" t="str">
        <f ca="1">Equations!K621</f>
        <v>&lt; 0.3</v>
      </c>
      <c r="Q54" s="38" t="str">
        <f ca="1">Equations!L621</f>
        <v>&lt; 0.3</v>
      </c>
      <c r="R54" s="38" t="str">
        <f ca="1">Equations!M621</f>
        <v>&lt; 0.3</v>
      </c>
      <c r="S54" s="704"/>
      <c r="T54" s="705"/>
      <c r="U54" s="100"/>
      <c r="V54" s="100"/>
      <c r="W54" s="100"/>
      <c r="X54" s="101"/>
    </row>
    <row r="55" spans="1:24" ht="21" customHeight="1" x14ac:dyDescent="0.25">
      <c r="B55" s="22"/>
      <c r="C55" s="699" t="str">
        <f>Equations!B622</f>
        <v>350 mm 
High-Profile Connection Box</v>
      </c>
      <c r="D55" s="701" t="s">
        <v>172</v>
      </c>
      <c r="E55" s="158" t="s">
        <v>398</v>
      </c>
      <c r="F55" s="158"/>
      <c r="G55" s="478" t="s">
        <v>274</v>
      </c>
      <c r="H55" s="480" t="str">
        <f>Equations!C622</f>
        <v>DN200</v>
      </c>
      <c r="I55" s="463" t="str">
        <f>Equations!D622</f>
        <v>DN200</v>
      </c>
      <c r="J55" s="464" t="str">
        <f>Equations!E622</f>
        <v>DN200</v>
      </c>
      <c r="K55" s="464" t="str">
        <f>Equations!F622</f>
        <v>DN200</v>
      </c>
      <c r="L55" s="465" t="str">
        <f>Equations!G622</f>
        <v>DN200</v>
      </c>
      <c r="M55" s="463" t="str">
        <f>Equations!H622</f>
        <v>DN200</v>
      </c>
      <c r="N55" s="462" t="str">
        <f>Equations!I622</f>
        <v>DN200</v>
      </c>
      <c r="O55" s="462" t="str">
        <f>Equations!J622</f>
        <v>DN200</v>
      </c>
      <c r="P55" s="462" t="str">
        <f>Equations!K622</f>
        <v>DN200</v>
      </c>
      <c r="Q55" s="462" t="str">
        <f>Equations!L622</f>
        <v>DN200</v>
      </c>
      <c r="R55" s="470" t="str">
        <f>Equations!M622</f>
        <v>DN200</v>
      </c>
      <c r="S55" s="570" t="s">
        <v>845</v>
      </c>
      <c r="T55" s="569"/>
      <c r="U55" s="569"/>
      <c r="V55" s="569"/>
      <c r="W55" s="569"/>
      <c r="X55" s="542"/>
    </row>
    <row r="56" spans="1:24" ht="21" customHeight="1" x14ac:dyDescent="0.25">
      <c r="B56" s="22"/>
      <c r="C56" s="699"/>
      <c r="D56" s="701"/>
      <c r="E56" s="158" t="s">
        <v>613</v>
      </c>
      <c r="F56" s="158"/>
      <c r="G56" s="478" t="s">
        <v>268</v>
      </c>
      <c r="H56" s="481">
        <f>Equations!C623</f>
        <v>44.5</v>
      </c>
      <c r="I56" s="449">
        <f>Equations!D623</f>
        <v>44.5</v>
      </c>
      <c r="J56" s="450">
        <f>Equations!E623</f>
        <v>44.5</v>
      </c>
      <c r="K56" s="450">
        <f>Equations!F623</f>
        <v>44.5</v>
      </c>
      <c r="L56" s="451">
        <f>Equations!G623</f>
        <v>44.5</v>
      </c>
      <c r="M56" s="449">
        <f>Equations!H623</f>
        <v>44.5</v>
      </c>
      <c r="N56" s="38">
        <f>Equations!I623</f>
        <v>47</v>
      </c>
      <c r="O56" s="38">
        <f>Equations!J623</f>
        <v>68.599999999999994</v>
      </c>
      <c r="P56" s="38">
        <f>Equations!K623</f>
        <v>89.4</v>
      </c>
      <c r="Q56" s="38">
        <f>Equations!L623</f>
        <v>117.1</v>
      </c>
      <c r="R56" s="471">
        <f>Equations!M623</f>
        <v>160.9</v>
      </c>
      <c r="S56" s="568"/>
      <c r="T56" s="569"/>
      <c r="U56" s="569"/>
      <c r="V56" s="569"/>
      <c r="W56" s="569"/>
      <c r="X56" s="542"/>
    </row>
    <row r="57" spans="1:24" ht="21" customHeight="1" x14ac:dyDescent="0.25">
      <c r="B57" s="22"/>
      <c r="C57" s="699"/>
      <c r="D57" s="703"/>
      <c r="E57" s="176" t="s">
        <v>614</v>
      </c>
      <c r="F57" s="176"/>
      <c r="G57" s="479" t="s">
        <v>268</v>
      </c>
      <c r="H57" s="482">
        <f>Equations!C624</f>
        <v>50.7</v>
      </c>
      <c r="I57" s="453">
        <f>Equations!D624</f>
        <v>50.7</v>
      </c>
      <c r="J57" s="454">
        <f>Equations!E624</f>
        <v>50.7</v>
      </c>
      <c r="K57" s="454">
        <f>Equations!F624</f>
        <v>50.7</v>
      </c>
      <c r="L57" s="455">
        <f>Equations!G624</f>
        <v>50.7</v>
      </c>
      <c r="M57" s="453">
        <f>Equations!H624</f>
        <v>50.7</v>
      </c>
      <c r="N57" s="452">
        <f>Equations!I624</f>
        <v>53.2</v>
      </c>
      <c r="O57" s="452">
        <f>Equations!J624</f>
        <v>74.8</v>
      </c>
      <c r="P57" s="452">
        <f>Equations!K624</f>
        <v>95.6</v>
      </c>
      <c r="Q57" s="452">
        <f>Equations!L624</f>
        <v>123.3</v>
      </c>
      <c r="R57" s="472">
        <f>Equations!M624</f>
        <v>167.1</v>
      </c>
      <c r="S57" s="710" t="s">
        <v>847</v>
      </c>
      <c r="T57" s="711"/>
      <c r="U57" s="711"/>
      <c r="V57" s="711"/>
      <c r="W57" s="711"/>
      <c r="X57" s="712"/>
    </row>
    <row r="58" spans="1:24" ht="21" customHeight="1" x14ac:dyDescent="0.25">
      <c r="B58" s="22"/>
      <c r="C58" s="699"/>
      <c r="D58" s="702" t="s">
        <v>343</v>
      </c>
      <c r="E58" s="158" t="s">
        <v>20</v>
      </c>
      <c r="F58" s="158"/>
      <c r="G58" s="478" t="s">
        <v>269</v>
      </c>
      <c r="H58" s="481">
        <f ca="1">Equations!C625</f>
        <v>41.8</v>
      </c>
      <c r="I58" s="449">
        <f ca="1">Equations!D625</f>
        <v>41.3</v>
      </c>
      <c r="J58" s="450">
        <f ca="1">Equations!E625</f>
        <v>40.700000000000003</v>
      </c>
      <c r="K58" s="450">
        <f ca="1">Equations!F625</f>
        <v>40</v>
      </c>
      <c r="L58" s="451">
        <f ca="1">Equations!G625</f>
        <v>39.1</v>
      </c>
      <c r="M58" s="449">
        <f ca="1">Equations!H625</f>
        <v>38.5</v>
      </c>
      <c r="N58" s="38">
        <f ca="1">Equations!I625</f>
        <v>39.299999999999997</v>
      </c>
      <c r="O58" s="38">
        <f ca="1">Equations!J625</f>
        <v>60.2</v>
      </c>
      <c r="P58" s="38" t="str">
        <f ca="1">Equations!K625</f>
        <v>-</v>
      </c>
      <c r="Q58" s="38" t="str">
        <f ca="1">Equations!L625</f>
        <v>-</v>
      </c>
      <c r="R58" s="471" t="str">
        <f ca="1">Equations!M625</f>
        <v>-</v>
      </c>
      <c r="S58" s="710"/>
      <c r="T58" s="711"/>
      <c r="U58" s="711"/>
      <c r="V58" s="711"/>
      <c r="W58" s="711"/>
      <c r="X58" s="712"/>
    </row>
    <row r="59" spans="1:24" ht="21" customHeight="1" thickBot="1" x14ac:dyDescent="0.3">
      <c r="B59" s="22"/>
      <c r="C59" s="700"/>
      <c r="D59" s="703"/>
      <c r="E59" s="176" t="s">
        <v>846</v>
      </c>
      <c r="F59" s="176"/>
      <c r="G59" s="479" t="s">
        <v>270</v>
      </c>
      <c r="H59" s="483">
        <f ca="1">Equations!C626</f>
        <v>26.8</v>
      </c>
      <c r="I59" s="467">
        <f ca="1">Equations!D626</f>
        <v>26.3</v>
      </c>
      <c r="J59" s="468">
        <f ca="1">Equations!E626</f>
        <v>25.7</v>
      </c>
      <c r="K59" s="468">
        <f ca="1">Equations!F626</f>
        <v>25</v>
      </c>
      <c r="L59" s="469">
        <f ca="1">Equations!G626</f>
        <v>24.1</v>
      </c>
      <c r="M59" s="467">
        <f ca="1">Equations!H626</f>
        <v>23.5</v>
      </c>
      <c r="N59" s="466">
        <f ca="1">Equations!I626</f>
        <v>24.3</v>
      </c>
      <c r="O59" s="466">
        <f ca="1">Equations!J626</f>
        <v>45.2</v>
      </c>
      <c r="P59" s="466" t="str">
        <f ca="1">Equations!K626</f>
        <v>-</v>
      </c>
      <c r="Q59" s="466" t="str">
        <f ca="1">Equations!L626</f>
        <v>-</v>
      </c>
      <c r="R59" s="473" t="str">
        <f ca="1">Equations!M626</f>
        <v>-</v>
      </c>
      <c r="S59" s="133"/>
      <c r="T59" s="133"/>
      <c r="U59" s="100"/>
      <c r="V59" s="100"/>
      <c r="W59" s="100"/>
      <c r="X59" s="101"/>
    </row>
    <row r="60" spans="1:24" ht="21" customHeight="1" x14ac:dyDescent="0.25">
      <c r="A60" s="16"/>
      <c r="B60" s="22"/>
      <c r="C60" s="699" t="str">
        <f>Equations!B627</f>
        <v>250 mm 
Medium-Profile Connection Box</v>
      </c>
      <c r="D60" s="701" t="s">
        <v>172</v>
      </c>
      <c r="E60" s="158" t="s">
        <v>398</v>
      </c>
      <c r="F60" s="158"/>
      <c r="G60" s="478" t="s">
        <v>274</v>
      </c>
      <c r="H60" s="480" t="str">
        <f>Equations!C627</f>
        <v>DN200</v>
      </c>
      <c r="I60" s="463" t="str">
        <f>Equations!D627</f>
        <v>DN200</v>
      </c>
      <c r="J60" s="464" t="str">
        <f>Equations!E627</f>
        <v>DN200</v>
      </c>
      <c r="K60" s="462" t="str">
        <f>Equations!F627</f>
        <v>DN200</v>
      </c>
      <c r="L60" s="463" t="str">
        <f>Equations!G627</f>
        <v>DN200</v>
      </c>
      <c r="M60" s="464" t="str">
        <f>Equations!H627</f>
        <v>DN200</v>
      </c>
      <c r="N60" s="462" t="str">
        <f>Equations!I627</f>
        <v>DN200</v>
      </c>
      <c r="O60" s="462" t="str">
        <f>Equations!J627</f>
        <v>DN200</v>
      </c>
      <c r="P60" s="462" t="str">
        <f>Equations!K627</f>
        <v>DN200</v>
      </c>
      <c r="Q60" s="462" t="str">
        <f>Equations!L627</f>
        <v>DN200</v>
      </c>
      <c r="R60" s="470" t="str">
        <f>Equations!M627</f>
        <v>DN200</v>
      </c>
      <c r="S60" s="388"/>
      <c r="T60" s="17"/>
      <c r="U60" s="49"/>
      <c r="V60" s="17"/>
      <c r="W60" s="17"/>
      <c r="X60" s="23"/>
    </row>
    <row r="61" spans="1:24" ht="21" customHeight="1" x14ac:dyDescent="0.25">
      <c r="A61" s="16"/>
      <c r="B61" s="22"/>
      <c r="C61" s="699"/>
      <c r="D61" s="701"/>
      <c r="E61" s="158" t="s">
        <v>613</v>
      </c>
      <c r="F61" s="158"/>
      <c r="G61" s="478" t="s">
        <v>268</v>
      </c>
      <c r="H61" s="481">
        <f>Equations!C628</f>
        <v>46.2</v>
      </c>
      <c r="I61" s="449">
        <f>Equations!D628</f>
        <v>46.2</v>
      </c>
      <c r="J61" s="450">
        <f>Equations!E628</f>
        <v>46.2</v>
      </c>
      <c r="K61" s="38">
        <f>Equations!F628</f>
        <v>46.2</v>
      </c>
      <c r="L61" s="449">
        <f>Equations!G628</f>
        <v>46.2</v>
      </c>
      <c r="M61" s="450">
        <f>Equations!H628</f>
        <v>46.2</v>
      </c>
      <c r="N61" s="38">
        <f>Equations!I628</f>
        <v>48.7</v>
      </c>
      <c r="O61" s="38">
        <f>Equations!J628</f>
        <v>70.3</v>
      </c>
      <c r="P61" s="38">
        <f>Equations!K628</f>
        <v>91.2</v>
      </c>
      <c r="Q61" s="38">
        <f>Equations!L628</f>
        <v>118.8</v>
      </c>
      <c r="R61" s="471">
        <f>Equations!M628</f>
        <v>162.6</v>
      </c>
      <c r="S61" s="485"/>
      <c r="T61" s="17"/>
      <c r="U61" s="49"/>
      <c r="V61" s="389"/>
      <c r="W61" s="17"/>
      <c r="X61" s="23"/>
    </row>
    <row r="62" spans="1:24" ht="21" customHeight="1" x14ac:dyDescent="0.25">
      <c r="A62" s="16"/>
      <c r="B62" s="22"/>
      <c r="C62" s="699"/>
      <c r="D62" s="701"/>
      <c r="E62" s="176" t="s">
        <v>614</v>
      </c>
      <c r="F62" s="176"/>
      <c r="G62" s="479" t="s">
        <v>268</v>
      </c>
      <c r="H62" s="482">
        <f>Equations!C629</f>
        <v>52.8</v>
      </c>
      <c r="I62" s="453">
        <f>Equations!D629</f>
        <v>52.8</v>
      </c>
      <c r="J62" s="454">
        <f>Equations!E629</f>
        <v>52.8</v>
      </c>
      <c r="K62" s="452">
        <f>Equations!F629</f>
        <v>52.8</v>
      </c>
      <c r="L62" s="453">
        <f>Equations!G629</f>
        <v>52.8</v>
      </c>
      <c r="M62" s="454">
        <f>Equations!H629</f>
        <v>52.8</v>
      </c>
      <c r="N62" s="452">
        <f>Equations!I629</f>
        <v>55.2</v>
      </c>
      <c r="O62" s="452">
        <f>Equations!J629</f>
        <v>76.900000000000006</v>
      </c>
      <c r="P62" s="452">
        <f>Equations!K629</f>
        <v>97.7</v>
      </c>
      <c r="Q62" s="452">
        <f>Equations!L629</f>
        <v>125.4</v>
      </c>
      <c r="R62" s="472">
        <f>Equations!M629</f>
        <v>169.2</v>
      </c>
      <c r="S62" s="485"/>
      <c r="T62" s="17"/>
      <c r="U62" s="49"/>
      <c r="V62" s="390"/>
      <c r="W62" s="17"/>
      <c r="X62" s="23"/>
    </row>
    <row r="63" spans="1:24" ht="21" customHeight="1" x14ac:dyDescent="0.25">
      <c r="A63" s="16"/>
      <c r="B63" s="22"/>
      <c r="C63" s="699"/>
      <c r="D63" s="702" t="s">
        <v>343</v>
      </c>
      <c r="E63" s="158" t="s">
        <v>20</v>
      </c>
      <c r="F63" s="158"/>
      <c r="G63" s="478" t="s">
        <v>269</v>
      </c>
      <c r="H63" s="481">
        <f ca="1">Equations!C630</f>
        <v>43.3</v>
      </c>
      <c r="I63" s="449">
        <f ca="1">Equations!D630</f>
        <v>42.7</v>
      </c>
      <c r="J63" s="450">
        <f ca="1">Equations!E630</f>
        <v>42.1</v>
      </c>
      <c r="K63" s="38">
        <f ca="1">Equations!F630</f>
        <v>41.4</v>
      </c>
      <c r="L63" s="449">
        <f ca="1">Equations!G630</f>
        <v>40.6</v>
      </c>
      <c r="M63" s="450">
        <f ca="1">Equations!H630</f>
        <v>40</v>
      </c>
      <c r="N63" s="38">
        <f ca="1">Equations!I630</f>
        <v>40.700000000000003</v>
      </c>
      <c r="O63" s="38">
        <f ca="1">Equations!J630</f>
        <v>61.6</v>
      </c>
      <c r="P63" s="38" t="str">
        <f ca="1">Equations!K630</f>
        <v>-</v>
      </c>
      <c r="Q63" s="38" t="str">
        <f ca="1">Equations!L630</f>
        <v>-</v>
      </c>
      <c r="R63" s="471" t="str">
        <f ca="1">Equations!M630</f>
        <v>-</v>
      </c>
      <c r="S63" s="485"/>
      <c r="T63" s="17"/>
      <c r="U63" s="49"/>
      <c r="V63" s="17"/>
      <c r="W63" s="17"/>
      <c r="X63" s="23"/>
    </row>
    <row r="64" spans="1:24" ht="21" customHeight="1" thickBot="1" x14ac:dyDescent="0.3">
      <c r="A64" s="16"/>
      <c r="B64" s="22"/>
      <c r="C64" s="700"/>
      <c r="D64" s="703"/>
      <c r="E64" s="176" t="s">
        <v>846</v>
      </c>
      <c r="F64" s="176"/>
      <c r="G64" s="479" t="s">
        <v>270</v>
      </c>
      <c r="H64" s="483">
        <f ca="1">Equations!C631</f>
        <v>28.3</v>
      </c>
      <c r="I64" s="467">
        <f ca="1">Equations!D631</f>
        <v>27.7</v>
      </c>
      <c r="J64" s="468">
        <f ca="1">Equations!E631</f>
        <v>27.1</v>
      </c>
      <c r="K64" s="466">
        <f ca="1">Equations!F631</f>
        <v>26.4</v>
      </c>
      <c r="L64" s="467">
        <f ca="1">Equations!G631</f>
        <v>25.6</v>
      </c>
      <c r="M64" s="468">
        <f ca="1">Equations!H631</f>
        <v>25</v>
      </c>
      <c r="N64" s="466">
        <f ca="1">Equations!I631</f>
        <v>25.7</v>
      </c>
      <c r="O64" s="466">
        <f ca="1">Equations!J631</f>
        <v>46.6</v>
      </c>
      <c r="P64" s="466" t="str">
        <f ca="1">Equations!K631</f>
        <v>-</v>
      </c>
      <c r="Q64" s="466" t="str">
        <f ca="1">Equations!L631</f>
        <v>-</v>
      </c>
      <c r="R64" s="473" t="str">
        <f ca="1">Equations!M631</f>
        <v>-</v>
      </c>
      <c r="S64" s="485"/>
      <c r="T64" s="17"/>
      <c r="U64" s="49"/>
      <c r="V64" s="17"/>
      <c r="W64" s="17"/>
      <c r="X64" s="23"/>
    </row>
    <row r="65" spans="1:24" ht="21" customHeight="1" x14ac:dyDescent="0.25">
      <c r="A65" s="16"/>
      <c r="B65" s="22"/>
      <c r="C65" s="699" t="str">
        <f>Equations!B632</f>
        <v>200 mm 
Low-Profile Connection Box</v>
      </c>
      <c r="D65" s="701" t="s">
        <v>172</v>
      </c>
      <c r="E65" s="158" t="s">
        <v>398</v>
      </c>
      <c r="F65" s="158"/>
      <c r="G65" s="478" t="s">
        <v>274</v>
      </c>
      <c r="H65" s="480" t="str">
        <f>Equations!C632</f>
        <v>DN250</v>
      </c>
      <c r="I65" s="449" t="str">
        <f>Equations!D632</f>
        <v>DN250</v>
      </c>
      <c r="J65" s="450" t="str">
        <f>Equations!E632</f>
        <v>DN250</v>
      </c>
      <c r="K65" s="38" t="str">
        <f>Equations!F632</f>
        <v>DN250</v>
      </c>
      <c r="L65" s="449" t="str">
        <f>Equations!G632</f>
        <v>DN250</v>
      </c>
      <c r="M65" s="450" t="str">
        <f>Equations!H632</f>
        <v>DN250</v>
      </c>
      <c r="N65" s="38" t="str">
        <f>Equations!I632</f>
        <v>DN250</v>
      </c>
      <c r="O65" s="38" t="str">
        <f>Equations!J632</f>
        <v>DN250</v>
      </c>
      <c r="P65" s="38" t="str">
        <f>Equations!K632</f>
        <v>DN250</v>
      </c>
      <c r="Q65" s="38" t="str">
        <f>Equations!L632</f>
        <v>DN250</v>
      </c>
      <c r="R65" s="470" t="str">
        <f>Equations!M632</f>
        <v>DN250</v>
      </c>
      <c r="S65" s="388"/>
      <c r="T65" s="133"/>
      <c r="U65" s="17"/>
      <c r="V65" s="17"/>
      <c r="W65" s="17"/>
      <c r="X65" s="23"/>
    </row>
    <row r="66" spans="1:24" ht="21" customHeight="1" x14ac:dyDescent="0.25">
      <c r="A66" s="16"/>
      <c r="B66" s="22"/>
      <c r="C66" s="699"/>
      <c r="D66" s="701"/>
      <c r="E66" s="158" t="s">
        <v>613</v>
      </c>
      <c r="F66" s="158"/>
      <c r="G66" s="478" t="s">
        <v>268</v>
      </c>
      <c r="H66" s="481">
        <f>Equations!C633</f>
        <v>57.5</v>
      </c>
      <c r="I66" s="449">
        <f>Equations!D633</f>
        <v>47.5</v>
      </c>
      <c r="J66" s="450">
        <f>Equations!E633</f>
        <v>47.5</v>
      </c>
      <c r="K66" s="38">
        <f>Equations!F633</f>
        <v>47.5</v>
      </c>
      <c r="L66" s="449">
        <f>Equations!G633</f>
        <v>47.5</v>
      </c>
      <c r="M66" s="450">
        <f>Equations!H633</f>
        <v>47.5</v>
      </c>
      <c r="N66" s="38">
        <f>Equations!I633</f>
        <v>50</v>
      </c>
      <c r="O66" s="38">
        <f>Equations!J633</f>
        <v>71.599999999999994</v>
      </c>
      <c r="P66" s="38">
        <f>Equations!K633</f>
        <v>92.4</v>
      </c>
      <c r="Q66" s="38">
        <f>Equations!L633</f>
        <v>120.1</v>
      </c>
      <c r="R66" s="471">
        <f>Equations!M633</f>
        <v>163.9</v>
      </c>
      <c r="S66" s="322"/>
      <c r="T66" s="49"/>
      <c r="U66" s="17"/>
      <c r="V66" s="17"/>
      <c r="W66" s="17"/>
      <c r="X66" s="23"/>
    </row>
    <row r="67" spans="1:24" ht="21" customHeight="1" x14ac:dyDescent="0.25">
      <c r="A67" s="16"/>
      <c r="B67" s="22"/>
      <c r="C67" s="699"/>
      <c r="D67" s="701"/>
      <c r="E67" s="176" t="s">
        <v>614</v>
      </c>
      <c r="F67" s="176"/>
      <c r="G67" s="479" t="s">
        <v>268</v>
      </c>
      <c r="H67" s="482">
        <f>Equations!C634</f>
        <v>63.3</v>
      </c>
      <c r="I67" s="453">
        <f>Equations!D634</f>
        <v>53.3</v>
      </c>
      <c r="J67" s="454">
        <f>Equations!E634</f>
        <v>53.3</v>
      </c>
      <c r="K67" s="452">
        <f>Equations!F634</f>
        <v>53.3</v>
      </c>
      <c r="L67" s="453">
        <f>Equations!G634</f>
        <v>53.3</v>
      </c>
      <c r="M67" s="454">
        <f>Equations!H634</f>
        <v>53.3</v>
      </c>
      <c r="N67" s="452">
        <f>Equations!I634</f>
        <v>55.7</v>
      </c>
      <c r="O67" s="452">
        <f>Equations!J634</f>
        <v>77.400000000000006</v>
      </c>
      <c r="P67" s="452">
        <f>Equations!K634</f>
        <v>98.2</v>
      </c>
      <c r="Q67" s="452">
        <f>Equations!L634</f>
        <v>125.9</v>
      </c>
      <c r="R67" s="472">
        <f>Equations!M634</f>
        <v>169.6</v>
      </c>
      <c r="S67" s="322"/>
      <c r="T67" s="49"/>
      <c r="U67" s="17"/>
      <c r="V67" s="17"/>
      <c r="W67" s="17"/>
      <c r="X67" s="23"/>
    </row>
    <row r="68" spans="1:24" ht="21" customHeight="1" x14ac:dyDescent="0.25">
      <c r="A68" s="16"/>
      <c r="B68" s="22"/>
      <c r="C68" s="699"/>
      <c r="D68" s="702" t="s">
        <v>343</v>
      </c>
      <c r="E68" s="158" t="s">
        <v>20</v>
      </c>
      <c r="F68" s="158"/>
      <c r="G68" s="478" t="s">
        <v>269</v>
      </c>
      <c r="H68" s="484">
        <f ca="1">Equations!C635</f>
        <v>47.1</v>
      </c>
      <c r="I68" s="475">
        <f ca="1">Equations!D635</f>
        <v>46.5</v>
      </c>
      <c r="J68" s="476">
        <f ca="1">Equations!E635</f>
        <v>45.9</v>
      </c>
      <c r="K68" s="474">
        <f ca="1">Equations!F635</f>
        <v>45.2</v>
      </c>
      <c r="L68" s="475">
        <f ca="1">Equations!G635</f>
        <v>44.4</v>
      </c>
      <c r="M68" s="476">
        <f ca="1">Equations!H635</f>
        <v>43.8</v>
      </c>
      <c r="N68" s="474">
        <f ca="1">Equations!I635</f>
        <v>44.6</v>
      </c>
      <c r="O68" s="474">
        <f ca="1">Equations!J635</f>
        <v>65.400000000000006</v>
      </c>
      <c r="P68" s="474" t="str">
        <f ca="1">Equations!K635</f>
        <v>-</v>
      </c>
      <c r="Q68" s="474" t="str">
        <f ca="1">Equations!L635</f>
        <v>-</v>
      </c>
      <c r="R68" s="477" t="str">
        <f ca="1">Equations!M635</f>
        <v>-</v>
      </c>
      <c r="S68" s="489"/>
      <c r="T68" s="133"/>
      <c r="U68" s="17"/>
      <c r="V68" s="17"/>
      <c r="W68" s="17"/>
      <c r="X68" s="23"/>
    </row>
    <row r="69" spans="1:24" ht="21" customHeight="1" thickBot="1" x14ac:dyDescent="0.3">
      <c r="A69" s="16"/>
      <c r="B69" s="22"/>
      <c r="C69" s="700"/>
      <c r="D69" s="703"/>
      <c r="E69" s="176" t="s">
        <v>846</v>
      </c>
      <c r="F69" s="176"/>
      <c r="G69" s="479" t="s">
        <v>270</v>
      </c>
      <c r="H69" s="483">
        <f ca="1">Equations!C636</f>
        <v>32.1</v>
      </c>
      <c r="I69" s="467">
        <f ca="1">Equations!D636</f>
        <v>31.5</v>
      </c>
      <c r="J69" s="468">
        <f ca="1">Equations!E636</f>
        <v>30.9</v>
      </c>
      <c r="K69" s="466">
        <f ca="1">Equations!F636</f>
        <v>30.2</v>
      </c>
      <c r="L69" s="467">
        <f ca="1">Equations!G636</f>
        <v>29.4</v>
      </c>
      <c r="M69" s="468">
        <f ca="1">Equations!H636</f>
        <v>28.8</v>
      </c>
      <c r="N69" s="466">
        <f ca="1">Equations!I636</f>
        <v>29.6</v>
      </c>
      <c r="O69" s="466">
        <f ca="1">Equations!J636</f>
        <v>50.4</v>
      </c>
      <c r="P69" s="466" t="str">
        <f ca="1">Equations!K636</f>
        <v>-</v>
      </c>
      <c r="Q69" s="466" t="str">
        <f ca="1">Equations!L636</f>
        <v>-</v>
      </c>
      <c r="R69" s="473" t="str">
        <f ca="1">Equations!M636</f>
        <v>-</v>
      </c>
      <c r="S69" s="535" t="s">
        <v>556</v>
      </c>
      <c r="T69" s="397"/>
      <c r="U69" s="17"/>
      <c r="V69" s="17"/>
      <c r="W69" s="17"/>
      <c r="X69" s="23"/>
    </row>
    <row r="70" spans="1:24" ht="14.25" customHeight="1" x14ac:dyDescent="0.25">
      <c r="B70" s="22"/>
      <c r="C70" s="17"/>
      <c r="D70" s="169"/>
      <c r="E70" s="169"/>
      <c r="F70" s="169"/>
      <c r="G70" s="169"/>
      <c r="H70" s="158"/>
      <c r="I70" s="36"/>
      <c r="J70" s="36"/>
      <c r="K70" s="36"/>
      <c r="L70" s="36"/>
      <c r="M70" s="36"/>
      <c r="N70" s="36"/>
      <c r="O70" s="36"/>
      <c r="P70" s="36"/>
      <c r="Q70" s="36"/>
      <c r="R70" s="36"/>
      <c r="S70" s="158"/>
      <c r="T70" s="49"/>
      <c r="U70" s="49"/>
      <c r="V70" s="17"/>
      <c r="W70" s="17"/>
      <c r="X70" s="23"/>
    </row>
    <row r="71" spans="1:24" ht="30.75" customHeight="1" x14ac:dyDescent="0.25">
      <c r="B71" s="64"/>
      <c r="C71" s="68"/>
      <c r="D71" s="75" t="s">
        <v>166</v>
      </c>
      <c r="E71" s="75"/>
      <c r="F71" s="75"/>
      <c r="G71" s="714"/>
      <c r="H71" s="714"/>
      <c r="I71" s="714"/>
      <c r="J71" s="714"/>
      <c r="K71" s="714"/>
      <c r="L71" s="714"/>
      <c r="M71" s="714"/>
      <c r="N71" s="714"/>
      <c r="O71" s="714"/>
      <c r="P71" s="714"/>
      <c r="Q71" s="714"/>
      <c r="R71" s="67"/>
      <c r="S71" s="67"/>
      <c r="T71" s="67"/>
      <c r="U71" s="67"/>
      <c r="V71" s="68"/>
      <c r="W71" s="68"/>
      <c r="X71" s="69"/>
    </row>
    <row r="72" spans="1:24" ht="14.25" customHeight="1" x14ac:dyDescent="0.25">
      <c r="B72" s="64"/>
      <c r="C72" s="68"/>
      <c r="D72" s="75"/>
      <c r="E72" s="75"/>
      <c r="F72" s="75"/>
      <c r="G72" s="714"/>
      <c r="H72" s="714"/>
      <c r="I72" s="714"/>
      <c r="J72" s="714"/>
      <c r="K72" s="714"/>
      <c r="L72" s="714"/>
      <c r="M72" s="714"/>
      <c r="N72" s="714"/>
      <c r="O72" s="714"/>
      <c r="P72" s="714"/>
      <c r="Q72" s="714"/>
      <c r="R72" s="73"/>
      <c r="S72" s="153"/>
      <c r="T72" s="67"/>
      <c r="U72" s="68"/>
      <c r="V72" s="68"/>
      <c r="W72" s="68"/>
      <c r="X72" s="69"/>
    </row>
    <row r="73" spans="1:24" ht="32.25" customHeight="1" x14ac:dyDescent="0.25">
      <c r="B73" s="64"/>
      <c r="C73" s="68"/>
      <c r="D73" s="70" t="s">
        <v>496</v>
      </c>
      <c r="E73" s="70"/>
      <c r="F73" s="697" t="s">
        <v>824</v>
      </c>
      <c r="G73" s="697"/>
      <c r="H73" s="697"/>
      <c r="I73" s="697"/>
      <c r="J73" s="697"/>
      <c r="K73" s="697"/>
      <c r="L73" s="697"/>
      <c r="M73" s="697"/>
      <c r="N73" s="697"/>
      <c r="O73" s="697"/>
      <c r="P73" s="697"/>
      <c r="Q73" s="697"/>
      <c r="R73" s="648" t="s">
        <v>106</v>
      </c>
      <c r="S73" s="155"/>
      <c r="T73" s="68"/>
      <c r="U73" s="68"/>
      <c r="V73" s="68"/>
      <c r="W73" s="68"/>
      <c r="X73" s="69"/>
    </row>
    <row r="74" spans="1:24" ht="25.15" customHeight="1" x14ac:dyDescent="0.25">
      <c r="B74" s="64"/>
      <c r="C74" s="68"/>
      <c r="D74" s="70" t="s">
        <v>23</v>
      </c>
      <c r="E74" s="70"/>
      <c r="F74" s="713" t="str">
        <f>Data!B14</f>
        <v>4 Way (360°) selected in cell M9. Shipped door setting is 4-way; adjustable on site to 2-way or 3-way</v>
      </c>
      <c r="G74" s="713"/>
      <c r="H74" s="713"/>
      <c r="I74" s="713"/>
      <c r="J74" s="713"/>
      <c r="K74" s="713"/>
      <c r="L74" s="713"/>
      <c r="M74" s="713"/>
      <c r="N74" s="713"/>
      <c r="O74" s="713"/>
      <c r="P74" s="713"/>
      <c r="Q74" s="66"/>
      <c r="R74" s="72" t="s">
        <v>284</v>
      </c>
      <c r="S74" s="67"/>
      <c r="T74" s="68"/>
      <c r="U74" s="68"/>
      <c r="V74" s="68"/>
      <c r="W74" s="68"/>
      <c r="X74" s="69"/>
    </row>
    <row r="75" spans="1:24" ht="25.15" customHeight="1" x14ac:dyDescent="0.25">
      <c r="B75" s="64"/>
      <c r="C75" s="68"/>
      <c r="D75" s="65" t="s">
        <v>251</v>
      </c>
      <c r="E75" s="70"/>
      <c r="F75" s="154"/>
      <c r="G75" s="154" t="s">
        <v>927</v>
      </c>
      <c r="H75" s="162"/>
      <c r="I75" s="156" t="s">
        <v>928</v>
      </c>
      <c r="J75" s="154"/>
      <c r="K75" s="156"/>
      <c r="L75" s="443" t="s">
        <v>752</v>
      </c>
      <c r="M75" s="66"/>
      <c r="N75" s="66"/>
      <c r="O75" s="66"/>
      <c r="P75" s="66"/>
      <c r="Q75" s="66"/>
      <c r="R75" s="155" t="str">
        <f>Data!C56</f>
        <v>□ 595 mm square face</v>
      </c>
      <c r="S75" s="67"/>
      <c r="T75" s="68"/>
      <c r="U75" s="68"/>
      <c r="V75" s="68"/>
      <c r="W75" s="68"/>
      <c r="X75" s="69"/>
    </row>
    <row r="76" spans="1:24" ht="25.15" customHeight="1" x14ac:dyDescent="0.25">
      <c r="B76" s="64"/>
      <c r="C76" s="68"/>
      <c r="D76" s="689" t="s">
        <v>963</v>
      </c>
      <c r="E76" s="689"/>
      <c r="F76" s="691" t="str">
        <f>Data!B64</f>
        <v>IAQ sensor (select one)</v>
      </c>
      <c r="G76" s="691"/>
      <c r="H76" s="691"/>
      <c r="I76" s="653" t="s">
        <v>505</v>
      </c>
      <c r="J76" s="501"/>
      <c r="K76" s="624"/>
      <c r="L76" s="624"/>
      <c r="M76" s="624"/>
      <c r="N76" s="624"/>
      <c r="O76" s="624"/>
      <c r="P76" s="624"/>
      <c r="Q76" s="624"/>
      <c r="R76" s="72" t="s">
        <v>838</v>
      </c>
      <c r="S76" s="67"/>
      <c r="T76" s="68"/>
      <c r="U76" s="68"/>
      <c r="V76" s="68"/>
      <c r="W76" s="68"/>
      <c r="X76" s="69"/>
    </row>
    <row r="77" spans="1:24" ht="25.15" customHeight="1" x14ac:dyDescent="0.25">
      <c r="B77" s="64"/>
      <c r="C77" s="68"/>
      <c r="D77" s="690"/>
      <c r="E77" s="690"/>
      <c r="F77" s="654" t="s">
        <v>964</v>
      </c>
      <c r="G77" s="693" t="s">
        <v>965</v>
      </c>
      <c r="H77" s="693"/>
      <c r="I77" s="584"/>
      <c r="J77" s="624"/>
      <c r="K77" s="624"/>
      <c r="L77" s="624"/>
      <c r="M77" s="624"/>
      <c r="N77" s="624"/>
      <c r="O77" s="624"/>
      <c r="P77" s="624"/>
      <c r="Q77" s="624"/>
      <c r="R77" s="72"/>
      <c r="S77" s="67"/>
      <c r="T77" s="68"/>
      <c r="U77" s="68"/>
      <c r="V77" s="68"/>
      <c r="W77" s="68"/>
      <c r="X77" s="69"/>
    </row>
    <row r="78" spans="1:24" ht="25.15" customHeight="1" x14ac:dyDescent="0.25">
      <c r="B78" s="64"/>
      <c r="C78" s="68"/>
      <c r="D78" s="186" t="s">
        <v>682</v>
      </c>
      <c r="E78" s="186"/>
      <c r="F78" s="692" t="s">
        <v>840</v>
      </c>
      <c r="G78" s="692"/>
      <c r="H78" s="297"/>
      <c r="I78" s="624"/>
      <c r="J78" s="577" t="s">
        <v>622</v>
      </c>
      <c r="K78" s="297"/>
      <c r="L78" s="504" t="str">
        <f>Data!B78</f>
        <v>Touch Screen Wall-Stat with Room Temp (Available mid-2026)</v>
      </c>
      <c r="M78" s="71"/>
      <c r="N78" s="156"/>
      <c r="O78" s="156"/>
      <c r="P78" s="156"/>
      <c r="Q78" s="156"/>
      <c r="R78" s="72"/>
      <c r="S78" s="67"/>
      <c r="T78" s="68"/>
      <c r="U78" s="68"/>
      <c r="V78" s="68"/>
      <c r="W78" s="68"/>
      <c r="X78" s="69"/>
    </row>
    <row r="79" spans="1:24" ht="25.15" customHeight="1" x14ac:dyDescent="0.25">
      <c r="B79" s="64"/>
      <c r="C79" s="68"/>
      <c r="D79" s="353"/>
      <c r="E79" s="65"/>
      <c r="F79" s="624"/>
      <c r="G79" s="624"/>
      <c r="H79" s="624"/>
      <c r="I79" s="624"/>
      <c r="J79" s="624"/>
      <c r="K79" s="624"/>
      <c r="L79" s="507" t="s">
        <v>619</v>
      </c>
      <c r="M79" s="503" t="s">
        <v>673</v>
      </c>
      <c r="N79" s="502" t="s">
        <v>504</v>
      </c>
      <c r="O79" s="504"/>
      <c r="P79" s="443"/>
      <c r="Q79" s="443"/>
      <c r="R79" s="72"/>
      <c r="S79" s="67"/>
      <c r="T79" s="68"/>
      <c r="U79" s="68"/>
      <c r="V79" s="68"/>
      <c r="W79" s="68"/>
      <c r="X79" s="69"/>
    </row>
    <row r="80" spans="1:24" ht="25.15" customHeight="1" x14ac:dyDescent="0.25">
      <c r="B80" s="64"/>
      <c r="C80" s="68"/>
      <c r="D80" s="65" t="s">
        <v>623</v>
      </c>
      <c r="E80" s="170"/>
      <c r="F80" s="152"/>
      <c r="G80" s="347" t="s">
        <v>107</v>
      </c>
      <c r="H80" s="576"/>
      <c r="I80" s="152" t="s">
        <v>108</v>
      </c>
      <c r="J80" s="152"/>
      <c r="K80" s="152" t="s">
        <v>109</v>
      </c>
      <c r="L80" s="152"/>
      <c r="M80" s="152"/>
      <c r="N80" s="152"/>
      <c r="O80" s="152"/>
      <c r="P80" s="152"/>
      <c r="Q80" s="152"/>
      <c r="R80" s="155" t="s">
        <v>952</v>
      </c>
      <c r="S80" s="67"/>
      <c r="T80" s="68"/>
      <c r="U80" s="68"/>
      <c r="V80" s="68"/>
      <c r="W80" s="68"/>
      <c r="X80" s="69"/>
    </row>
    <row r="81" spans="2:24" ht="25.15" customHeight="1" x14ac:dyDescent="0.25">
      <c r="B81" s="64"/>
      <c r="C81" s="68"/>
      <c r="D81" s="170" t="s">
        <v>255</v>
      </c>
      <c r="E81" s="170"/>
      <c r="F81" s="692" t="str">
        <f>Data!D181</f>
        <v>Side entry spigot</v>
      </c>
      <c r="G81" s="692"/>
      <c r="H81" s="655" t="str">
        <f>Data!D182</f>
        <v>Top entry spigot</v>
      </c>
      <c r="I81" s="152"/>
      <c r="J81" s="656" t="str">
        <f>Data!D183</f>
        <v>Side entry spigot with Gravity Pressure Relief Damper</v>
      </c>
      <c r="K81" s="656"/>
      <c r="L81" s="657"/>
      <c r="M81" s="657"/>
      <c r="N81" s="658" t="str">
        <f>Data!D184</f>
        <v>Side entry spigots with Motorised Supply Source Damper</v>
      </c>
      <c r="O81" s="152"/>
      <c r="P81" s="152"/>
      <c r="Q81" s="152"/>
      <c r="R81" s="155" t="s">
        <v>993</v>
      </c>
      <c r="S81" s="67"/>
      <c r="T81" s="68"/>
      <c r="U81" s="68"/>
      <c r="V81" s="68"/>
      <c r="W81" s="68"/>
      <c r="X81" s="69"/>
    </row>
    <row r="82" spans="2:24" ht="25.15" customHeight="1" x14ac:dyDescent="0.25">
      <c r="B82" s="64"/>
      <c r="C82" s="68"/>
      <c r="D82" s="565" t="s">
        <v>990</v>
      </c>
      <c r="E82" s="170"/>
      <c r="F82" s="595" t="str">
        <f ca="1">Data!$C$118</f>
        <v>250 mm high box (default)</v>
      </c>
      <c r="G82" s="624"/>
      <c r="H82" s="348"/>
      <c r="I82" s="297" t="str">
        <f ca="1">Data!$C$119</f>
        <v>350 mm high box</v>
      </c>
      <c r="J82" s="348"/>
      <c r="K82" s="348" t="str">
        <f ca="1">Data!$C$120</f>
        <v>200 mm high box</v>
      </c>
      <c r="L82" s="348"/>
      <c r="M82" s="348" t="str">
        <f ca="1">Data!$C$121</f>
        <v>bespoke</v>
      </c>
      <c r="N82" s="152"/>
      <c r="O82" s="152"/>
      <c r="P82" s="152"/>
      <c r="Q82" s="152"/>
      <c r="R82" s="155"/>
      <c r="S82" s="67"/>
      <c r="T82" s="68"/>
      <c r="U82" s="68"/>
      <c r="V82" s="68"/>
      <c r="W82" s="68"/>
      <c r="X82" s="69"/>
    </row>
    <row r="83" spans="2:24" ht="25.15" customHeight="1" x14ac:dyDescent="0.25">
      <c r="B83" s="64"/>
      <c r="C83" s="68"/>
      <c r="D83" s="565" t="s">
        <v>399</v>
      </c>
      <c r="E83" s="170"/>
      <c r="F83" s="297"/>
      <c r="G83" s="347" t="str">
        <f ca="1">Data!$E$146</f>
        <v>DN200 (default)</v>
      </c>
      <c r="H83" s="348"/>
      <c r="I83" s="297" t="str">
        <f ca="1">Data!$E$147</f>
        <v>DN150</v>
      </c>
      <c r="J83" s="348"/>
      <c r="K83" s="348" t="str">
        <f ca="1">Data!$E$148</f>
        <v>DN250</v>
      </c>
      <c r="L83" s="297"/>
      <c r="M83" s="297" t="str">
        <f ca="1">Data!$E$149</f>
        <v>bespoke spigot</v>
      </c>
      <c r="N83" s="297"/>
      <c r="O83" s="297"/>
      <c r="P83" s="297"/>
      <c r="Q83" s="297"/>
      <c r="R83" s="298" t="str">
        <f ca="1">Data!B13</f>
        <v>DN200 mm (default)</v>
      </c>
      <c r="S83" s="170"/>
      <c r="T83" s="170"/>
      <c r="U83" s="68"/>
      <c r="V83" s="68"/>
      <c r="W83" s="68"/>
      <c r="X83" s="69"/>
    </row>
    <row r="84" spans="2:24" ht="25.15" customHeight="1" x14ac:dyDescent="0.25">
      <c r="B84" s="64"/>
      <c r="C84" s="68"/>
      <c r="D84" s="565" t="s">
        <v>780</v>
      </c>
      <c r="E84" s="170"/>
      <c r="F84" s="715" t="str">
        <f>Data!D97</f>
        <v>Foam*</v>
      </c>
      <c r="G84" s="691"/>
      <c r="H84" s="716" t="str">
        <f>Data!D98</f>
        <v>Sheetmetal</v>
      </c>
      <c r="I84" s="716"/>
      <c r="J84" s="709" t="s">
        <v>1007</v>
      </c>
      <c r="K84" s="692"/>
      <c r="L84" s="692" t="s">
        <v>781</v>
      </c>
      <c r="M84" s="692"/>
      <c r="N84" s="566"/>
      <c r="O84" s="68"/>
      <c r="P84" s="297"/>
      <c r="Q84" s="297"/>
      <c r="R84" s="298" t="str">
        <f>Data!B161</f>
        <v>Foam box with R1 insulation</v>
      </c>
      <c r="S84" s="170"/>
      <c r="T84" s="170"/>
      <c r="U84" s="68"/>
      <c r="V84" s="68"/>
      <c r="W84" s="68"/>
      <c r="X84" s="69"/>
    </row>
    <row r="85" spans="2:24" ht="25.15" customHeight="1" x14ac:dyDescent="0.25">
      <c r="B85" s="64"/>
      <c r="C85" s="68"/>
      <c r="D85" s="732" t="s">
        <v>995</v>
      </c>
      <c r="E85" s="732"/>
      <c r="F85" s="624" t="s">
        <v>1003</v>
      </c>
      <c r="G85" s="624"/>
      <c r="H85" s="624"/>
      <c r="I85" s="624"/>
      <c r="J85" s="624"/>
      <c r="K85" s="624"/>
      <c r="L85" s="624"/>
      <c r="M85" s="624"/>
      <c r="N85" s="624"/>
      <c r="O85" s="297"/>
      <c r="P85" s="297"/>
      <c r="Q85" s="297"/>
      <c r="R85" s="726"/>
      <c r="S85" s="726"/>
      <c r="T85" s="726"/>
      <c r="U85" s="726"/>
      <c r="V85" s="726"/>
      <c r="W85" s="726"/>
      <c r="X85" s="575"/>
    </row>
    <row r="86" spans="2:24" ht="25.15" customHeight="1" x14ac:dyDescent="0.25">
      <c r="B86" s="64"/>
      <c r="C86" s="68"/>
      <c r="D86" s="727" t="s">
        <v>1001</v>
      </c>
      <c r="E86" s="727"/>
      <c r="F86" s="730" t="s">
        <v>996</v>
      </c>
      <c r="G86" s="730"/>
      <c r="H86" s="730"/>
      <c r="I86" s="730"/>
      <c r="J86" s="730"/>
      <c r="K86" s="730"/>
      <c r="L86" s="730"/>
      <c r="M86" s="730"/>
      <c r="N86" s="730"/>
      <c r="O86" s="730"/>
      <c r="P86" s="730"/>
      <c r="Q86" s="730"/>
      <c r="R86" s="667" t="s">
        <v>1012</v>
      </c>
      <c r="S86" s="659"/>
      <c r="T86" s="659"/>
      <c r="U86" s="659"/>
      <c r="V86" s="659"/>
      <c r="W86" s="659"/>
      <c r="X86" s="575"/>
    </row>
    <row r="87" spans="2:24" ht="33.75" customHeight="1" x14ac:dyDescent="0.25">
      <c r="B87" s="64"/>
      <c r="C87" s="68"/>
      <c r="D87" s="727"/>
      <c r="E87" s="727"/>
      <c r="F87" s="731" t="s">
        <v>997</v>
      </c>
      <c r="G87" s="731"/>
      <c r="H87" s="731"/>
      <c r="I87" s="731"/>
      <c r="J87" s="731"/>
      <c r="K87" s="731"/>
      <c r="L87" s="731"/>
      <c r="M87" s="731"/>
      <c r="N87" s="731"/>
      <c r="O87" s="731"/>
      <c r="P87" s="731"/>
      <c r="Q87" s="731"/>
      <c r="R87" s="659"/>
      <c r="S87" s="659"/>
      <c r="T87" s="659"/>
      <c r="U87" s="659"/>
      <c r="V87" s="659"/>
      <c r="W87" s="659"/>
      <c r="X87" s="575"/>
    </row>
    <row r="88" spans="2:24" ht="51.75" customHeight="1" x14ac:dyDescent="0.25">
      <c r="B88" s="64"/>
      <c r="C88" s="68"/>
      <c r="D88" s="170"/>
      <c r="E88" s="170"/>
      <c r="F88" s="731" t="s">
        <v>998</v>
      </c>
      <c r="G88" s="731"/>
      <c r="H88" s="731"/>
      <c r="I88" s="731"/>
      <c r="J88" s="731"/>
      <c r="K88" s="731"/>
      <c r="L88" s="731"/>
      <c r="M88" s="731"/>
      <c r="N88" s="731"/>
      <c r="O88" s="731"/>
      <c r="P88" s="731"/>
      <c r="Q88" s="731"/>
      <c r="R88" s="666"/>
      <c r="S88" s="659"/>
      <c r="T88" s="659"/>
      <c r="U88" s="659"/>
      <c r="V88" s="659"/>
      <c r="W88" s="659"/>
      <c r="X88" s="575"/>
    </row>
    <row r="89" spans="2:24" ht="33" customHeight="1" x14ac:dyDescent="0.25">
      <c r="B89" s="64"/>
      <c r="C89" s="68"/>
      <c r="D89" s="170"/>
      <c r="E89" s="170"/>
      <c r="F89" s="697" t="s">
        <v>1002</v>
      </c>
      <c r="G89" s="697"/>
      <c r="H89" s="697"/>
      <c r="I89" s="697"/>
      <c r="J89" s="697"/>
      <c r="K89" s="697"/>
      <c r="L89" s="697"/>
      <c r="M89" s="697"/>
      <c r="N89" s="697"/>
      <c r="O89" s="697"/>
      <c r="P89" s="697"/>
      <c r="Q89" s="697"/>
      <c r="R89" s="659"/>
      <c r="S89" s="659"/>
      <c r="T89" s="659"/>
      <c r="U89" s="659"/>
      <c r="V89" s="659"/>
      <c r="W89" s="659"/>
      <c r="X89" s="575"/>
    </row>
    <row r="90" spans="2:24" ht="25.15" customHeight="1" x14ac:dyDescent="0.25">
      <c r="B90" s="64"/>
      <c r="C90" s="68"/>
      <c r="D90" s="170"/>
      <c r="E90" s="170"/>
      <c r="F90" s="660" t="s">
        <v>999</v>
      </c>
      <c r="G90" s="665"/>
      <c r="H90" s="665"/>
      <c r="I90" s="665"/>
      <c r="J90" s="665"/>
      <c r="K90" s="665"/>
      <c r="L90" s="665"/>
      <c r="M90" s="665"/>
      <c r="N90" s="665"/>
      <c r="O90" s="665"/>
      <c r="P90" s="665"/>
      <c r="Q90" s="665"/>
      <c r="R90" s="659"/>
      <c r="S90" s="659"/>
      <c r="T90" s="659"/>
      <c r="U90" s="659"/>
      <c r="V90" s="659"/>
      <c r="W90" s="659"/>
      <c r="X90" s="575"/>
    </row>
    <row r="91" spans="2:24" ht="37.5" customHeight="1" thickBot="1" x14ac:dyDescent="0.3">
      <c r="B91" s="64"/>
      <c r="C91" s="68"/>
      <c r="D91" s="170"/>
      <c r="E91" s="170"/>
      <c r="F91" s="731" t="s">
        <v>1000</v>
      </c>
      <c r="G91" s="731"/>
      <c r="H91" s="731"/>
      <c r="I91" s="731"/>
      <c r="J91" s="731"/>
      <c r="K91" s="731"/>
      <c r="L91" s="731"/>
      <c r="M91" s="731"/>
      <c r="N91" s="731"/>
      <c r="O91" s="731"/>
      <c r="P91" s="731"/>
      <c r="Q91" s="731"/>
      <c r="R91" s="661"/>
      <c r="S91" s="659"/>
      <c r="T91" s="659"/>
      <c r="U91" s="659"/>
      <c r="V91" s="659"/>
      <c r="W91" s="659"/>
      <c r="X91" s="575"/>
    </row>
    <row r="92" spans="2:24" ht="28.9" customHeight="1" x14ac:dyDescent="0.25">
      <c r="B92" s="64"/>
      <c r="C92" s="68"/>
      <c r="D92" s="493" t="s">
        <v>99</v>
      </c>
      <c r="E92" s="349"/>
      <c r="F92" s="562" t="str">
        <f ca="1">_productcode</f>
        <v>SMARTEMP HSC-VS-DN355-S595-KF250R1-SD200-RAL9003-SE-D0-SC-W0</v>
      </c>
      <c r="G92" s="562"/>
      <c r="H92" s="562"/>
      <c r="I92" s="562"/>
      <c r="J92" s="562"/>
      <c r="K92" s="562"/>
      <c r="L92" s="562"/>
      <c r="M92" s="563"/>
      <c r="N92" s="563"/>
      <c r="O92" s="350"/>
      <c r="P92" s="350"/>
      <c r="Q92" s="350"/>
      <c r="R92" s="409" t="s">
        <v>562</v>
      </c>
      <c r="S92" s="351"/>
      <c r="T92" s="352"/>
      <c r="U92" s="352"/>
      <c r="V92" s="68"/>
      <c r="W92" s="68"/>
      <c r="X92" s="69"/>
    </row>
    <row r="93" spans="2:24" ht="108" customHeight="1" x14ac:dyDescent="0.25">
      <c r="B93" s="64"/>
      <c r="C93" s="68"/>
      <c r="D93" s="494" t="s">
        <v>155</v>
      </c>
      <c r="E93" s="354"/>
      <c r="F93" s="688" t="str">
        <f ca="1">Data!B338</f>
        <v xml:space="preserve">HSC-VS Diffuser 
• Recommended D5 door setting (adjusted on-site)
• 4 Way (360°) discharge
• □ 595 mm square face
• Powder coated to RAL9003
</v>
      </c>
      <c r="G93" s="688"/>
      <c r="H93" s="688"/>
      <c r="I93" s="688"/>
      <c r="J93" s="729" t="str">
        <f ca="1">Data!F338</f>
        <v xml:space="preserve">Connection Box Details
• 250 mm high box (default)
• Foam box with R1 insulation
• DN200 mm (default) side entry spigot
• No pressure damper
</v>
      </c>
      <c r="K93" s="729"/>
      <c r="L93" s="729"/>
      <c r="M93" s="688" t="str">
        <f>Data!C338</f>
        <v xml:space="preserve">Standard On-Board Sensors
• Supply Temperature
• Room Temperature
• Supply Pressure
Optional On-board sensors
• IAQ Sensor (CO₂ + RH)
</v>
      </c>
      <c r="N93" s="688"/>
      <c r="O93" s="728" t="str">
        <f>Data!D338</f>
        <v xml:space="preserve">HMI Options
• No wall stat selected
     • Room Temp
</v>
      </c>
      <c r="P93" s="728"/>
      <c r="Q93" s="68"/>
      <c r="R93" s="128" t="s">
        <v>564</v>
      </c>
      <c r="S93" s="67"/>
      <c r="T93" s="68"/>
      <c r="U93" s="68"/>
      <c r="V93" s="68"/>
      <c r="W93" s="68"/>
      <c r="X93" s="69"/>
    </row>
    <row r="94" spans="2:24" ht="15.75" x14ac:dyDescent="0.25">
      <c r="B94" s="64"/>
      <c r="C94" s="68"/>
      <c r="D94" s="74"/>
      <c r="E94" s="74"/>
      <c r="F94" s="68"/>
      <c r="G94" s="68"/>
      <c r="H94" s="687"/>
      <c r="I94" s="687"/>
      <c r="J94" s="687"/>
      <c r="K94" s="687"/>
      <c r="L94" s="687"/>
      <c r="M94" s="68"/>
      <c r="N94" s="68"/>
      <c r="O94" s="68"/>
      <c r="P94" s="68"/>
      <c r="Q94" s="68"/>
      <c r="R94" s="68"/>
      <c r="S94" s="128"/>
      <c r="T94" s="68"/>
      <c r="U94" s="68"/>
      <c r="V94" s="68"/>
      <c r="W94" s="68"/>
      <c r="X94" s="69"/>
    </row>
    <row r="95" spans="2:24" ht="15.75" x14ac:dyDescent="0.25">
      <c r="B95" s="45"/>
      <c r="C95" s="45"/>
      <c r="D95" s="45"/>
      <c r="E95" s="45"/>
      <c r="F95" s="45"/>
      <c r="G95" s="45"/>
      <c r="H95" s="45"/>
      <c r="I95" s="45"/>
      <c r="J95" s="649" t="s">
        <v>141</v>
      </c>
      <c r="K95" s="301"/>
      <c r="L95" s="301"/>
      <c r="M95" s="301"/>
      <c r="N95" s="301"/>
      <c r="O95" s="301"/>
      <c r="P95" s="301"/>
      <c r="Q95" s="301"/>
      <c r="R95" s="301"/>
      <c r="S95" s="301"/>
      <c r="T95" s="45"/>
      <c r="U95" s="382"/>
      <c r="V95" s="382" t="s">
        <v>1039</v>
      </c>
      <c r="W95" s="382"/>
      <c r="X95" s="383"/>
    </row>
    <row r="96" spans="2:24" x14ac:dyDescent="0.25">
      <c r="B96" s="188"/>
      <c r="C96" s="188"/>
      <c r="D96" s="188"/>
      <c r="E96" s="188"/>
      <c r="F96" s="188"/>
      <c r="G96" s="188"/>
      <c r="H96" s="188"/>
      <c r="I96" s="188"/>
      <c r="J96" s="188"/>
      <c r="K96" s="188"/>
      <c r="L96" s="188"/>
      <c r="M96" s="188"/>
      <c r="N96" s="188"/>
      <c r="O96" s="188"/>
      <c r="P96" s="188"/>
      <c r="Q96" s="188"/>
      <c r="R96" s="188"/>
      <c r="S96" s="188"/>
      <c r="T96" s="188"/>
      <c r="U96" s="188"/>
      <c r="V96" s="188"/>
      <c r="W96" s="188"/>
      <c r="X96" s="188"/>
    </row>
    <row r="97" spans="4:7" ht="15.75" x14ac:dyDescent="0.25">
      <c r="D97" s="14"/>
      <c r="E97" s="14"/>
      <c r="F97" s="14"/>
      <c r="G97" s="14"/>
    </row>
    <row r="98" spans="4:7" ht="15.6" customHeight="1" x14ac:dyDescent="0.25">
      <c r="D98" s="14"/>
      <c r="E98" s="14"/>
    </row>
    <row r="99" spans="4:7" ht="15.75" x14ac:dyDescent="0.25">
      <c r="D99" s="15"/>
      <c r="E99" s="15"/>
    </row>
    <row r="100" spans="4:7" ht="15.75" x14ac:dyDescent="0.25">
      <c r="D100" s="15"/>
      <c r="E100" s="15"/>
      <c r="F100" s="15"/>
      <c r="G100" s="15"/>
    </row>
    <row r="101" spans="4:7" ht="15.75" x14ac:dyDescent="0.25">
      <c r="D101" s="14"/>
      <c r="E101" s="14"/>
      <c r="F101" s="14"/>
      <c r="G101" s="14"/>
    </row>
    <row r="102" spans="4:7" ht="15.75" x14ac:dyDescent="0.25">
      <c r="D102" s="14"/>
      <c r="E102" s="14"/>
      <c r="F102" s="14"/>
      <c r="G102" s="14"/>
    </row>
    <row r="103" spans="4:7" ht="15.75" x14ac:dyDescent="0.25">
      <c r="D103" s="14"/>
      <c r="E103" s="14"/>
      <c r="F103" s="14"/>
      <c r="G103" s="14"/>
    </row>
    <row r="104" spans="4:7" ht="15.75" x14ac:dyDescent="0.25">
      <c r="D104" s="14"/>
      <c r="E104" s="14"/>
      <c r="F104" s="14"/>
      <c r="G104" s="14"/>
    </row>
    <row r="105" spans="4:7" ht="15.75" x14ac:dyDescent="0.25">
      <c r="D105" s="14"/>
      <c r="E105" s="14"/>
      <c r="F105" s="14"/>
      <c r="G105" s="14"/>
    </row>
    <row r="106" spans="4:7" ht="15.75" x14ac:dyDescent="0.25">
      <c r="D106" s="14"/>
      <c r="E106" s="14"/>
      <c r="F106" s="14"/>
      <c r="G106" s="14"/>
    </row>
    <row r="107" spans="4:7" ht="15.75" x14ac:dyDescent="0.25">
      <c r="D107" s="14"/>
      <c r="E107" s="14"/>
      <c r="F107" s="14"/>
      <c r="G107" s="14"/>
    </row>
  </sheetData>
  <sheetProtection algorithmName="SHA-512" hashValue="OoxIgn3fKMyLbEehU/+OE8voolA9IRyhXG5xWNBuyNLwJO5ohY+hpD/CKGUn0ytOJS10KryChfsAZGfryVUIGQ==" saltValue="LBO3+uUIL7arbI6XhNRluQ==" spinCount="100000" sheet="1" selectLockedCells="1"/>
  <protectedRanges>
    <protectedRange sqref="E19 E21 M9 Z9 M11 E23 M23 T25 M17 M21 M19 M25 H24 O23 E14:E16 E12 E10 G10" name="inputs"/>
  </protectedRanges>
  <mergeCells count="49">
    <mergeCell ref="R85:W85"/>
    <mergeCell ref="D86:E87"/>
    <mergeCell ref="O93:P93"/>
    <mergeCell ref="J93:L93"/>
    <mergeCell ref="M93:N93"/>
    <mergeCell ref="F86:Q86"/>
    <mergeCell ref="F87:Q87"/>
    <mergeCell ref="F88:Q88"/>
    <mergeCell ref="F89:Q89"/>
    <mergeCell ref="D85:E85"/>
    <mergeCell ref="F91:Q91"/>
    <mergeCell ref="D5:I5"/>
    <mergeCell ref="AA36:AB36"/>
    <mergeCell ref="AB41:AD41"/>
    <mergeCell ref="K9:L9"/>
    <mergeCell ref="M33:N33"/>
    <mergeCell ref="J33:K33"/>
    <mergeCell ref="D7:H7"/>
    <mergeCell ref="M23:N23"/>
    <mergeCell ref="S54:T54"/>
    <mergeCell ref="S50:X51"/>
    <mergeCell ref="L84:M84"/>
    <mergeCell ref="J84:K84"/>
    <mergeCell ref="S57:X58"/>
    <mergeCell ref="F74:P74"/>
    <mergeCell ref="G71:Q72"/>
    <mergeCell ref="F84:G84"/>
    <mergeCell ref="H84:I84"/>
    <mergeCell ref="C40:C43"/>
    <mergeCell ref="C44:C45"/>
    <mergeCell ref="C50:C54"/>
    <mergeCell ref="F73:Q73"/>
    <mergeCell ref="C46:C49"/>
    <mergeCell ref="C65:C69"/>
    <mergeCell ref="C55:C59"/>
    <mergeCell ref="C60:C64"/>
    <mergeCell ref="D60:D62"/>
    <mergeCell ref="D63:D64"/>
    <mergeCell ref="D55:D57"/>
    <mergeCell ref="D58:D59"/>
    <mergeCell ref="D65:D67"/>
    <mergeCell ref="D68:D69"/>
    <mergeCell ref="H94:L94"/>
    <mergeCell ref="F93:I93"/>
    <mergeCell ref="D76:E77"/>
    <mergeCell ref="F76:H76"/>
    <mergeCell ref="F81:G81"/>
    <mergeCell ref="G77:H77"/>
    <mergeCell ref="F78:G78"/>
  </mergeCells>
  <conditionalFormatting sqref="H39:R39">
    <cfRule type="expression" dxfId="40" priority="80">
      <formula>ISTEXT(H39)</formula>
    </cfRule>
  </conditionalFormatting>
  <dataValidations xWindow="413" yWindow="296" count="11">
    <dataValidation type="list" allowBlank="1" showInputMessage="1" showErrorMessage="1" sqref="M11" xr:uid="{00000000-0002-0000-0000-000000000000}">
      <formula1>adpi.</formula1>
    </dataValidation>
    <dataValidation type="list" allowBlank="1" showInputMessage="1" showErrorMessage="1" sqref="M9" xr:uid="{00000000-0002-0000-0000-000001000000}">
      <formula1>dischargedirection.</formula1>
    </dataValidation>
    <dataValidation type="decimal" showErrorMessage="1" errorTitle="Turndown" error="Turndown available between 10% and 100%._x000a_Use 100% for no turndown." promptTitle="Turndown" prompt="Use 100% for no turndown." sqref="E12" xr:uid="{00000000-0002-0000-0000-000003000000}">
      <formula1>0.1</formula1>
      <formula2>1</formula2>
    </dataValidation>
    <dataValidation allowBlank="1" showErrorMessage="1" promptTitle="Default" prompt="Default at 35 Pa" sqref="E23:F23 F14:F16 E15:E16" xr:uid="{00000000-0002-0000-0000-000004000000}"/>
    <dataValidation type="decimal" errorStyle="warning" allowBlank="1" showErrorMessage="1" errorTitle="Range" error="Use -8 K for 0 K to -8 K" promptTitle="Range" prompt="Available for dT of -16 K to -8 K" sqref="E19:F19" xr:uid="{00000000-0002-0000-0000-000005000000}">
      <formula1>-16</formula1>
      <formula2>-8</formula2>
    </dataValidation>
    <dataValidation type="decimal" allowBlank="1" showErrorMessage="1" errorTitle="Input Error - Low Level Return" error="Input must be between 0% and 100%." sqref="M25" xr:uid="{00000000-0002-0000-0000-000006000000}">
      <formula1>0</formula1>
      <formula2>1</formula2>
    </dataValidation>
    <dataValidation type="decimal" allowBlank="1" showErrorMessage="1" errorTitle="Specific Airflow Rate" error="Specific Airflow Rate available between 2 L/s/m2 and 10 L/s/m2. Default 5 L/s/m2" promptTitle="Specific Airflow Rate" prompt="Default 5 L/s/m2" sqref="Z9" xr:uid="{00000000-0002-0000-0000-000007000000}">
      <formula1>2</formula1>
      <formula2>10</formula2>
    </dataValidation>
    <dataValidation type="decimal" operator="notEqual" allowBlank="1" showInputMessage="1" showErrorMessage="1" sqref="M17" xr:uid="{00000000-0002-0000-0000-000008000000}">
      <formula1>0</formula1>
    </dataValidation>
    <dataValidation type="decimal" allowBlank="1" showErrorMessage="1" promptTitle="Specific Airflow Rate" prompt="Default 5 L/s/m2" sqref="M21" xr:uid="{00000000-0002-0000-0000-000009000000}">
      <formula1>20</formula1>
      <formula2>26</formula2>
    </dataValidation>
    <dataValidation type="decimal" allowBlank="1" showErrorMessage="1" errorTitle="Room Height" error="Room Height available for 2m to 5m" promptTitle="Room Height" prompt="Available for 2 m to 5 m" sqref="E21:F21 H24" xr:uid="{00000000-0002-0000-0000-00000A000000}">
      <formula1>2</formula1>
      <formula2>5</formula2>
    </dataValidation>
    <dataValidation type="decimal" allowBlank="1" showErrorMessage="1" errorTitle="Pressure Limits" error="Maximum pressure input is 50 Pa" promptTitle="Max Pressure Limit" prompt="max 60 Pa" sqref="E14" xr:uid="{5E40CD02-D20F-4911-9418-CCF4CBCB3CA3}">
      <formula1>0</formula1>
      <formula2>50</formula2>
    </dataValidation>
  </dataValidations>
  <hyperlinks>
    <hyperlink ref="J95:N95" r:id="rId1" display="click to see product on  smartair.asia" xr:uid="{00000000-0004-0000-0000-000000000000}"/>
    <hyperlink ref="J95" r:id="rId2" xr:uid="{D7A4BF46-C444-4C03-84C7-32CAA8BF50C8}"/>
  </hyperlinks>
  <pageMargins left="0.7" right="0.7" top="0.75" bottom="0.75" header="0.3" footer="0.3"/>
  <pageSetup paperSize="9" orientation="portrait" horizontalDpi="300"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1032" r:id="rId6" name="Option Button 8">
              <controlPr defaultSize="0" autoFill="0" autoLine="0" autoPict="0">
                <anchor moveWithCells="1">
                  <from>
                    <xdr:col>12</xdr:col>
                    <xdr:colOff>295275</xdr:colOff>
                    <xdr:row>21</xdr:row>
                    <xdr:rowOff>161925</xdr:rowOff>
                  </from>
                  <to>
                    <xdr:col>12</xdr:col>
                    <xdr:colOff>752475</xdr:colOff>
                    <xdr:row>23</xdr:row>
                    <xdr:rowOff>38100</xdr:rowOff>
                  </to>
                </anchor>
              </controlPr>
            </control>
          </mc:Choice>
        </mc:AlternateContent>
        <mc:AlternateContent xmlns:mc="http://schemas.openxmlformats.org/markup-compatibility/2006">
          <mc:Choice Requires="x14">
            <control shapeId="1034" r:id="rId7" name="Option Button 10">
              <controlPr defaultSize="0" autoFill="0" autoLine="0" autoPict="0">
                <anchor moveWithCells="1">
                  <from>
                    <xdr:col>13</xdr:col>
                    <xdr:colOff>714375</xdr:colOff>
                    <xdr:row>21</xdr:row>
                    <xdr:rowOff>190500</xdr:rowOff>
                  </from>
                  <to>
                    <xdr:col>14</xdr:col>
                    <xdr:colOff>171450</xdr:colOff>
                    <xdr:row>23</xdr:row>
                    <xdr:rowOff>19050</xdr:rowOff>
                  </to>
                </anchor>
              </controlPr>
            </control>
          </mc:Choice>
        </mc:AlternateContent>
        <mc:AlternateContent xmlns:mc="http://schemas.openxmlformats.org/markup-compatibility/2006">
          <mc:Choice Requires="x14">
            <control shapeId="1050" r:id="rId8" name="Option Button 26">
              <controlPr defaultSize="0" autoFill="0" autoLine="0" autoPict="0">
                <anchor moveWithCells="1">
                  <from>
                    <xdr:col>5</xdr:col>
                    <xdr:colOff>447675</xdr:colOff>
                    <xdr:row>79</xdr:row>
                    <xdr:rowOff>57150</xdr:rowOff>
                  </from>
                  <to>
                    <xdr:col>6</xdr:col>
                    <xdr:colOff>361950</xdr:colOff>
                    <xdr:row>79</xdr:row>
                    <xdr:rowOff>266700</xdr:rowOff>
                  </to>
                </anchor>
              </controlPr>
            </control>
          </mc:Choice>
        </mc:AlternateContent>
        <mc:AlternateContent xmlns:mc="http://schemas.openxmlformats.org/markup-compatibility/2006">
          <mc:Choice Requires="x14">
            <control shapeId="1051" r:id="rId9" name="Option Button 27">
              <controlPr defaultSize="0" autoFill="0" autoLine="0" autoPict="0">
                <anchor moveWithCells="1">
                  <from>
                    <xdr:col>7</xdr:col>
                    <xdr:colOff>571500</xdr:colOff>
                    <xdr:row>79</xdr:row>
                    <xdr:rowOff>57150</xdr:rowOff>
                  </from>
                  <to>
                    <xdr:col>8</xdr:col>
                    <xdr:colOff>781050</xdr:colOff>
                    <xdr:row>79</xdr:row>
                    <xdr:rowOff>266700</xdr:rowOff>
                  </to>
                </anchor>
              </controlPr>
            </control>
          </mc:Choice>
        </mc:AlternateContent>
        <mc:AlternateContent xmlns:mc="http://schemas.openxmlformats.org/markup-compatibility/2006">
          <mc:Choice Requires="x14">
            <control shapeId="1052" r:id="rId10" name="Option Button 28">
              <controlPr defaultSize="0" autoFill="0" autoLine="0" autoPict="0">
                <anchor moveWithCells="1">
                  <from>
                    <xdr:col>9</xdr:col>
                    <xdr:colOff>495300</xdr:colOff>
                    <xdr:row>79</xdr:row>
                    <xdr:rowOff>57150</xdr:rowOff>
                  </from>
                  <to>
                    <xdr:col>10</xdr:col>
                    <xdr:colOff>495300</xdr:colOff>
                    <xdr:row>79</xdr:row>
                    <xdr:rowOff>276225</xdr:rowOff>
                  </to>
                </anchor>
              </controlPr>
            </control>
          </mc:Choice>
        </mc:AlternateContent>
        <mc:AlternateContent xmlns:mc="http://schemas.openxmlformats.org/markup-compatibility/2006">
          <mc:Choice Requires="x14">
            <control shapeId="1053" r:id="rId11" name="Group Box 29">
              <controlPr defaultSize="0" autoFill="0" autoPict="0">
                <anchor moveWithCells="1">
                  <from>
                    <xdr:col>4</xdr:col>
                    <xdr:colOff>942975</xdr:colOff>
                    <xdr:row>79</xdr:row>
                    <xdr:rowOff>28575</xdr:rowOff>
                  </from>
                  <to>
                    <xdr:col>11</xdr:col>
                    <xdr:colOff>295275</xdr:colOff>
                    <xdr:row>79</xdr:row>
                    <xdr:rowOff>285750</xdr:rowOff>
                  </to>
                </anchor>
              </controlPr>
            </control>
          </mc:Choice>
        </mc:AlternateContent>
        <mc:AlternateContent xmlns:mc="http://schemas.openxmlformats.org/markup-compatibility/2006">
          <mc:Choice Requires="x14">
            <control shapeId="1057" r:id="rId12" name="Group Box 33">
              <controlPr defaultSize="0" autoFill="0" autoPict="0">
                <anchor moveWithCells="1">
                  <from>
                    <xdr:col>9</xdr:col>
                    <xdr:colOff>666750</xdr:colOff>
                    <xdr:row>13</xdr:row>
                    <xdr:rowOff>38100</xdr:rowOff>
                  </from>
                  <to>
                    <xdr:col>13</xdr:col>
                    <xdr:colOff>161925</xdr:colOff>
                    <xdr:row>19</xdr:row>
                    <xdr:rowOff>85725</xdr:rowOff>
                  </to>
                </anchor>
              </controlPr>
            </control>
          </mc:Choice>
        </mc:AlternateContent>
        <mc:AlternateContent xmlns:mc="http://schemas.openxmlformats.org/markup-compatibility/2006">
          <mc:Choice Requires="x14">
            <control shapeId="1060" r:id="rId13" name="Option Button 36">
              <controlPr defaultSize="0" autoFill="0" autoLine="0" autoPict="0">
                <anchor moveWithCells="1">
                  <from>
                    <xdr:col>10</xdr:col>
                    <xdr:colOff>19050</xdr:colOff>
                    <xdr:row>13</xdr:row>
                    <xdr:rowOff>142875</xdr:rowOff>
                  </from>
                  <to>
                    <xdr:col>10</xdr:col>
                    <xdr:colOff>438150</xdr:colOff>
                    <xdr:row>15</xdr:row>
                    <xdr:rowOff>66675</xdr:rowOff>
                  </to>
                </anchor>
              </controlPr>
            </control>
          </mc:Choice>
        </mc:AlternateContent>
        <mc:AlternateContent xmlns:mc="http://schemas.openxmlformats.org/markup-compatibility/2006">
          <mc:Choice Requires="x14">
            <control shapeId="1063" r:id="rId14" name="Option Button 39">
              <controlPr defaultSize="0" autoFill="0" autoLine="0" autoPict="0">
                <anchor moveWithCells="1">
                  <from>
                    <xdr:col>10</xdr:col>
                    <xdr:colOff>28575</xdr:colOff>
                    <xdr:row>15</xdr:row>
                    <xdr:rowOff>123825</xdr:rowOff>
                  </from>
                  <to>
                    <xdr:col>10</xdr:col>
                    <xdr:colOff>523875</xdr:colOff>
                    <xdr:row>17</xdr:row>
                    <xdr:rowOff>66675</xdr:rowOff>
                  </to>
                </anchor>
              </controlPr>
            </control>
          </mc:Choice>
        </mc:AlternateContent>
        <mc:AlternateContent xmlns:mc="http://schemas.openxmlformats.org/markup-compatibility/2006">
          <mc:Choice Requires="x14">
            <control shapeId="1082" r:id="rId15" name="Group Box 58">
              <controlPr defaultSize="0" autoFill="0" autoPict="0">
                <anchor moveWithCells="1">
                  <from>
                    <xdr:col>5</xdr:col>
                    <xdr:colOff>0</xdr:colOff>
                    <xdr:row>73</xdr:row>
                    <xdr:rowOff>266700</xdr:rowOff>
                  </from>
                  <to>
                    <xdr:col>12</xdr:col>
                    <xdr:colOff>57150</xdr:colOff>
                    <xdr:row>75</xdr:row>
                    <xdr:rowOff>76200</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5</xdr:col>
                    <xdr:colOff>371475</xdr:colOff>
                    <xdr:row>74</xdr:row>
                    <xdr:rowOff>66675</xdr:rowOff>
                  </from>
                  <to>
                    <xdr:col>5</xdr:col>
                    <xdr:colOff>809625</xdr:colOff>
                    <xdr:row>74</xdr:row>
                    <xdr:rowOff>295275</xdr:rowOff>
                  </to>
                </anchor>
              </controlPr>
            </control>
          </mc:Choice>
        </mc:AlternateContent>
        <mc:AlternateContent xmlns:mc="http://schemas.openxmlformats.org/markup-compatibility/2006">
          <mc:Choice Requires="x14">
            <control shapeId="1084" r:id="rId17" name="Option Button 60">
              <controlPr defaultSize="0" autoFill="0" autoLine="0" autoPict="0">
                <anchor moveWithCells="1">
                  <from>
                    <xdr:col>7</xdr:col>
                    <xdr:colOff>676275</xdr:colOff>
                    <xdr:row>74</xdr:row>
                    <xdr:rowOff>66675</xdr:rowOff>
                  </from>
                  <to>
                    <xdr:col>8</xdr:col>
                    <xdr:colOff>228600</xdr:colOff>
                    <xdr:row>74</xdr:row>
                    <xdr:rowOff>304800</xdr:rowOff>
                  </to>
                </anchor>
              </controlPr>
            </control>
          </mc:Choice>
        </mc:AlternateContent>
        <mc:AlternateContent xmlns:mc="http://schemas.openxmlformats.org/markup-compatibility/2006">
          <mc:Choice Requires="x14">
            <control shapeId="1067" r:id="rId18" name="Group Box 43">
              <controlPr defaultSize="0" autoFill="0" autoPict="0">
                <anchor moveWithCells="1">
                  <from>
                    <xdr:col>5</xdr:col>
                    <xdr:colOff>476250</xdr:colOff>
                    <xdr:row>8</xdr:row>
                    <xdr:rowOff>142875</xdr:rowOff>
                  </from>
                  <to>
                    <xdr:col>8</xdr:col>
                    <xdr:colOff>304800</xdr:colOff>
                    <xdr:row>10</xdr:row>
                    <xdr:rowOff>95250</xdr:rowOff>
                  </to>
                </anchor>
              </controlPr>
            </control>
          </mc:Choice>
        </mc:AlternateContent>
        <mc:AlternateContent xmlns:mc="http://schemas.openxmlformats.org/markup-compatibility/2006">
          <mc:Choice Requires="x14">
            <control shapeId="1068" r:id="rId19" name="Option Button 44">
              <controlPr defaultSize="0" autoFill="0" autoLine="0" autoPict="0">
                <anchor moveWithCells="1">
                  <from>
                    <xdr:col>5</xdr:col>
                    <xdr:colOff>942975</xdr:colOff>
                    <xdr:row>9</xdr:row>
                    <xdr:rowOff>0</xdr:rowOff>
                  </from>
                  <to>
                    <xdr:col>6</xdr:col>
                    <xdr:colOff>352425</xdr:colOff>
                    <xdr:row>10</xdr:row>
                    <xdr:rowOff>28575</xdr:rowOff>
                  </to>
                </anchor>
              </controlPr>
            </control>
          </mc:Choice>
        </mc:AlternateContent>
        <mc:AlternateContent xmlns:mc="http://schemas.openxmlformats.org/markup-compatibility/2006">
          <mc:Choice Requires="x14">
            <control shapeId="1098" r:id="rId20" name="Option Button 74">
              <controlPr defaultSize="0" autoFill="0" autoLine="0" autoPict="0">
                <anchor moveWithCells="1">
                  <from>
                    <xdr:col>6</xdr:col>
                    <xdr:colOff>447675</xdr:colOff>
                    <xdr:row>8</xdr:row>
                    <xdr:rowOff>209550</xdr:rowOff>
                  </from>
                  <to>
                    <xdr:col>7</xdr:col>
                    <xdr:colOff>314325</xdr:colOff>
                    <xdr:row>10</xdr:row>
                    <xdr:rowOff>47625</xdr:rowOff>
                  </to>
                </anchor>
              </controlPr>
            </control>
          </mc:Choice>
        </mc:AlternateContent>
        <mc:AlternateContent xmlns:mc="http://schemas.openxmlformats.org/markup-compatibility/2006">
          <mc:Choice Requires="x14">
            <control shapeId="37076" r:id="rId21" name="Group Box 1236">
              <controlPr defaultSize="0" autoFill="0" autoPict="0">
                <anchor moveWithCells="1">
                  <from>
                    <xdr:col>12</xdr:col>
                    <xdr:colOff>0</xdr:colOff>
                    <xdr:row>21</xdr:row>
                    <xdr:rowOff>76200</xdr:rowOff>
                  </from>
                  <to>
                    <xdr:col>15</xdr:col>
                    <xdr:colOff>542925</xdr:colOff>
                    <xdr:row>23</xdr:row>
                    <xdr:rowOff>114300</xdr:rowOff>
                  </to>
                </anchor>
              </controlPr>
            </control>
          </mc:Choice>
        </mc:AlternateContent>
        <mc:AlternateContent xmlns:mc="http://schemas.openxmlformats.org/markup-compatibility/2006">
          <mc:Choice Requires="x14">
            <control shapeId="37077" r:id="rId22" name="Option Button 1237">
              <controlPr defaultSize="0" autoFill="0" autoLine="0" autoPict="0">
                <anchor moveWithCells="1">
                  <from>
                    <xdr:col>10</xdr:col>
                    <xdr:colOff>28575</xdr:colOff>
                    <xdr:row>17</xdr:row>
                    <xdr:rowOff>180975</xdr:rowOff>
                  </from>
                  <to>
                    <xdr:col>10</xdr:col>
                    <xdr:colOff>495300</xdr:colOff>
                    <xdr:row>19</xdr:row>
                    <xdr:rowOff>0</xdr:rowOff>
                  </to>
                </anchor>
              </controlPr>
            </control>
          </mc:Choice>
        </mc:AlternateContent>
        <mc:AlternateContent xmlns:mc="http://schemas.openxmlformats.org/markup-compatibility/2006">
          <mc:Choice Requires="x14">
            <control shapeId="37146" r:id="rId23" name="connnection box Box">
              <controlPr defaultSize="0" autoFill="0" autoPict="0">
                <anchor moveWithCells="1">
                  <from>
                    <xdr:col>4</xdr:col>
                    <xdr:colOff>1066800</xdr:colOff>
                    <xdr:row>81</xdr:row>
                    <xdr:rowOff>28575</xdr:rowOff>
                  </from>
                  <to>
                    <xdr:col>14</xdr:col>
                    <xdr:colOff>704850</xdr:colOff>
                    <xdr:row>82</xdr:row>
                    <xdr:rowOff>0</xdr:rowOff>
                  </to>
                </anchor>
              </controlPr>
            </control>
          </mc:Choice>
        </mc:AlternateContent>
        <mc:AlternateContent xmlns:mc="http://schemas.openxmlformats.org/markup-compatibility/2006">
          <mc:Choice Requires="x14">
            <control shapeId="37147" r:id="rId24" name="Option Button 1307">
              <controlPr defaultSize="0" autoFill="0" autoLine="0" autoPict="0">
                <anchor moveWithCells="1">
                  <from>
                    <xdr:col>5</xdr:col>
                    <xdr:colOff>38100</xdr:colOff>
                    <xdr:row>81</xdr:row>
                    <xdr:rowOff>66675</xdr:rowOff>
                  </from>
                  <to>
                    <xdr:col>5</xdr:col>
                    <xdr:colOff>523875</xdr:colOff>
                    <xdr:row>81</xdr:row>
                    <xdr:rowOff>257175</xdr:rowOff>
                  </to>
                </anchor>
              </controlPr>
            </control>
          </mc:Choice>
        </mc:AlternateContent>
        <mc:AlternateContent xmlns:mc="http://schemas.openxmlformats.org/markup-compatibility/2006">
          <mc:Choice Requires="x14">
            <control shapeId="37148" r:id="rId25" name="Option Button 1308">
              <controlPr defaultSize="0" autoFill="0" autoLine="0" autoPict="0">
                <anchor moveWithCells="1">
                  <from>
                    <xdr:col>7</xdr:col>
                    <xdr:colOff>600075</xdr:colOff>
                    <xdr:row>81</xdr:row>
                    <xdr:rowOff>57150</xdr:rowOff>
                  </from>
                  <to>
                    <xdr:col>8</xdr:col>
                    <xdr:colOff>171450</xdr:colOff>
                    <xdr:row>81</xdr:row>
                    <xdr:rowOff>266700</xdr:rowOff>
                  </to>
                </anchor>
              </controlPr>
            </control>
          </mc:Choice>
        </mc:AlternateContent>
        <mc:AlternateContent xmlns:mc="http://schemas.openxmlformats.org/markup-compatibility/2006">
          <mc:Choice Requires="x14">
            <control shapeId="37149" r:id="rId26" name="Option Button 1309">
              <controlPr defaultSize="0" autoFill="0" autoLine="0" autoPict="0">
                <anchor moveWithCells="1">
                  <from>
                    <xdr:col>9</xdr:col>
                    <xdr:colOff>609600</xdr:colOff>
                    <xdr:row>81</xdr:row>
                    <xdr:rowOff>66675</xdr:rowOff>
                  </from>
                  <to>
                    <xdr:col>10</xdr:col>
                    <xdr:colOff>171450</xdr:colOff>
                    <xdr:row>81</xdr:row>
                    <xdr:rowOff>266700</xdr:rowOff>
                  </to>
                </anchor>
              </controlPr>
            </control>
          </mc:Choice>
        </mc:AlternateContent>
        <mc:AlternateContent xmlns:mc="http://schemas.openxmlformats.org/markup-compatibility/2006">
          <mc:Choice Requires="x14">
            <control shapeId="37150" r:id="rId27" name="Option Button 1310">
              <controlPr defaultSize="0" autoFill="0" autoLine="0" autoPict="0">
                <anchor moveWithCells="1">
                  <from>
                    <xdr:col>11</xdr:col>
                    <xdr:colOff>619125</xdr:colOff>
                    <xdr:row>81</xdr:row>
                    <xdr:rowOff>57150</xdr:rowOff>
                  </from>
                  <to>
                    <xdr:col>12</xdr:col>
                    <xdr:colOff>180975</xdr:colOff>
                    <xdr:row>81</xdr:row>
                    <xdr:rowOff>266700</xdr:rowOff>
                  </to>
                </anchor>
              </controlPr>
            </control>
          </mc:Choice>
        </mc:AlternateContent>
        <mc:AlternateContent xmlns:mc="http://schemas.openxmlformats.org/markup-compatibility/2006">
          <mc:Choice Requires="x14">
            <control shapeId="37165" r:id="rId28" name="spigot Box 1325">
              <controlPr defaultSize="0" autoFill="0" autoPict="0">
                <anchor moveWithCells="1">
                  <from>
                    <xdr:col>5</xdr:col>
                    <xdr:colOff>0</xdr:colOff>
                    <xdr:row>82</xdr:row>
                    <xdr:rowOff>19050</xdr:rowOff>
                  </from>
                  <to>
                    <xdr:col>16</xdr:col>
                    <xdr:colOff>295275</xdr:colOff>
                    <xdr:row>82</xdr:row>
                    <xdr:rowOff>295275</xdr:rowOff>
                  </to>
                </anchor>
              </controlPr>
            </control>
          </mc:Choice>
        </mc:AlternateContent>
        <mc:AlternateContent xmlns:mc="http://schemas.openxmlformats.org/markup-compatibility/2006">
          <mc:Choice Requires="x14">
            <control shapeId="37166" r:id="rId29" name="Option Button 1326">
              <controlPr defaultSize="0" autoFill="0" autoLine="0" autoPict="0">
                <anchor moveWithCells="1">
                  <from>
                    <xdr:col>5</xdr:col>
                    <xdr:colOff>257175</xdr:colOff>
                    <xdr:row>82</xdr:row>
                    <xdr:rowOff>57150</xdr:rowOff>
                  </from>
                  <to>
                    <xdr:col>5</xdr:col>
                    <xdr:colOff>638175</xdr:colOff>
                    <xdr:row>82</xdr:row>
                    <xdr:rowOff>276225</xdr:rowOff>
                  </to>
                </anchor>
              </controlPr>
            </control>
          </mc:Choice>
        </mc:AlternateContent>
        <mc:AlternateContent xmlns:mc="http://schemas.openxmlformats.org/markup-compatibility/2006">
          <mc:Choice Requires="x14">
            <control shapeId="37167" r:id="rId30" name="Option Button 1327">
              <controlPr defaultSize="0" autoFill="0" autoLine="0" autoPict="0">
                <anchor moveWithCells="1">
                  <from>
                    <xdr:col>7</xdr:col>
                    <xdr:colOff>609600</xdr:colOff>
                    <xdr:row>82</xdr:row>
                    <xdr:rowOff>47625</xdr:rowOff>
                  </from>
                  <to>
                    <xdr:col>8</xdr:col>
                    <xdr:colOff>66675</xdr:colOff>
                    <xdr:row>82</xdr:row>
                    <xdr:rowOff>266700</xdr:rowOff>
                  </to>
                </anchor>
              </controlPr>
            </control>
          </mc:Choice>
        </mc:AlternateContent>
        <mc:AlternateContent xmlns:mc="http://schemas.openxmlformats.org/markup-compatibility/2006">
          <mc:Choice Requires="x14">
            <control shapeId="37168" r:id="rId31" name="Option Button 1328">
              <controlPr defaultSize="0" autoFill="0" autoLine="0" autoPict="0">
                <anchor moveWithCells="1">
                  <from>
                    <xdr:col>9</xdr:col>
                    <xdr:colOff>657225</xdr:colOff>
                    <xdr:row>82</xdr:row>
                    <xdr:rowOff>47625</xdr:rowOff>
                  </from>
                  <to>
                    <xdr:col>10</xdr:col>
                    <xdr:colOff>19050</xdr:colOff>
                    <xdr:row>82</xdr:row>
                    <xdr:rowOff>266700</xdr:rowOff>
                  </to>
                </anchor>
              </controlPr>
            </control>
          </mc:Choice>
        </mc:AlternateContent>
        <mc:AlternateContent xmlns:mc="http://schemas.openxmlformats.org/markup-compatibility/2006">
          <mc:Choice Requires="x14">
            <control shapeId="37170" r:id="rId32" name="Option Button 1330">
              <controlPr defaultSize="0" autoFill="0" autoLine="0" autoPict="0">
                <anchor moveWithCells="1">
                  <from>
                    <xdr:col>11</xdr:col>
                    <xdr:colOff>619125</xdr:colOff>
                    <xdr:row>82</xdr:row>
                    <xdr:rowOff>47625</xdr:rowOff>
                  </from>
                  <to>
                    <xdr:col>12</xdr:col>
                    <xdr:colOff>47625</xdr:colOff>
                    <xdr:row>82</xdr:row>
                    <xdr:rowOff>266700</xdr:rowOff>
                  </to>
                </anchor>
              </controlPr>
            </control>
          </mc:Choice>
        </mc:AlternateContent>
        <mc:AlternateContent xmlns:mc="http://schemas.openxmlformats.org/markup-compatibility/2006">
          <mc:Choice Requires="x14">
            <control shapeId="37190" r:id="rId33" name="Group Box 1350">
              <controlPr defaultSize="0" autoFill="0" autoPict="0">
                <anchor moveWithCells="1">
                  <from>
                    <xdr:col>5</xdr:col>
                    <xdr:colOff>723900</xdr:colOff>
                    <xdr:row>74</xdr:row>
                    <xdr:rowOff>295275</xdr:rowOff>
                  </from>
                  <to>
                    <xdr:col>10</xdr:col>
                    <xdr:colOff>790575</xdr:colOff>
                    <xdr:row>76</xdr:row>
                    <xdr:rowOff>276225</xdr:rowOff>
                  </to>
                </anchor>
              </controlPr>
            </control>
          </mc:Choice>
        </mc:AlternateContent>
        <mc:AlternateContent xmlns:mc="http://schemas.openxmlformats.org/markup-compatibility/2006">
          <mc:Choice Requires="x14">
            <control shapeId="37192" r:id="rId34" name="Check Box 1352">
              <controlPr defaultSize="0" autoFill="0" autoLine="0" autoPict="0">
                <anchor moveWithCells="1">
                  <from>
                    <xdr:col>5</xdr:col>
                    <xdr:colOff>114300</xdr:colOff>
                    <xdr:row>75</xdr:row>
                    <xdr:rowOff>38100</xdr:rowOff>
                  </from>
                  <to>
                    <xdr:col>5</xdr:col>
                    <xdr:colOff>466725</xdr:colOff>
                    <xdr:row>75</xdr:row>
                    <xdr:rowOff>238125</xdr:rowOff>
                  </to>
                </anchor>
              </controlPr>
            </control>
          </mc:Choice>
        </mc:AlternateContent>
        <mc:AlternateContent xmlns:mc="http://schemas.openxmlformats.org/markup-compatibility/2006">
          <mc:Choice Requires="x14">
            <control shapeId="37193" r:id="rId35" name="Check Box 1353">
              <controlPr defaultSize="0" autoFill="0" autoLine="0" autoPict="0">
                <anchor moveWithCells="1">
                  <from>
                    <xdr:col>8</xdr:col>
                    <xdr:colOff>142875</xdr:colOff>
                    <xdr:row>75</xdr:row>
                    <xdr:rowOff>47625</xdr:rowOff>
                  </from>
                  <to>
                    <xdr:col>8</xdr:col>
                    <xdr:colOff>419100</xdr:colOff>
                    <xdr:row>75</xdr:row>
                    <xdr:rowOff>266700</xdr:rowOff>
                  </to>
                </anchor>
              </controlPr>
            </control>
          </mc:Choice>
        </mc:AlternateContent>
        <mc:AlternateContent xmlns:mc="http://schemas.openxmlformats.org/markup-compatibility/2006">
          <mc:Choice Requires="x14">
            <control shapeId="37194" r:id="rId36" name="Check Box 1354">
              <controlPr defaultSize="0" autoFill="0" autoLine="0" autoPict="0">
                <anchor moveWithCells="1">
                  <from>
                    <xdr:col>11</xdr:col>
                    <xdr:colOff>685800</xdr:colOff>
                    <xdr:row>78</xdr:row>
                    <xdr:rowOff>95250</xdr:rowOff>
                  </from>
                  <to>
                    <xdr:col>12</xdr:col>
                    <xdr:colOff>28575</xdr:colOff>
                    <xdr:row>78</xdr:row>
                    <xdr:rowOff>257175</xdr:rowOff>
                  </to>
                </anchor>
              </controlPr>
            </control>
          </mc:Choice>
        </mc:AlternateContent>
        <mc:AlternateContent xmlns:mc="http://schemas.openxmlformats.org/markup-compatibility/2006">
          <mc:Choice Requires="x14">
            <control shapeId="37197" r:id="rId37" name="Option Button 1357">
              <controlPr defaultSize="0" autoFill="0" autoLine="0" autoPict="0">
                <anchor moveWithCells="1">
                  <from>
                    <xdr:col>6</xdr:col>
                    <xdr:colOff>85725</xdr:colOff>
                    <xdr:row>76</xdr:row>
                    <xdr:rowOff>19050</xdr:rowOff>
                  </from>
                  <to>
                    <xdr:col>6</xdr:col>
                    <xdr:colOff>428625</xdr:colOff>
                    <xdr:row>76</xdr:row>
                    <xdr:rowOff>219075</xdr:rowOff>
                  </to>
                </anchor>
              </controlPr>
            </control>
          </mc:Choice>
        </mc:AlternateContent>
        <mc:AlternateContent xmlns:mc="http://schemas.openxmlformats.org/markup-compatibility/2006">
          <mc:Choice Requires="x14">
            <control shapeId="37198" r:id="rId38" name="Option Button 1358">
              <controlPr defaultSize="0" autoFill="0" autoLine="0" autoPict="0">
                <anchor moveWithCells="1">
                  <from>
                    <xdr:col>7</xdr:col>
                    <xdr:colOff>342900</xdr:colOff>
                    <xdr:row>76</xdr:row>
                    <xdr:rowOff>9525</xdr:rowOff>
                  </from>
                  <to>
                    <xdr:col>7</xdr:col>
                    <xdr:colOff>666750</xdr:colOff>
                    <xdr:row>76</xdr:row>
                    <xdr:rowOff>219075</xdr:rowOff>
                  </to>
                </anchor>
              </controlPr>
            </control>
          </mc:Choice>
        </mc:AlternateContent>
        <mc:AlternateContent xmlns:mc="http://schemas.openxmlformats.org/markup-compatibility/2006">
          <mc:Choice Requires="x14">
            <control shapeId="49165" r:id="rId39" name="Group Box 2061">
              <controlPr defaultSize="0" autoFill="0" autoPict="0">
                <anchor moveWithCells="1">
                  <from>
                    <xdr:col>4</xdr:col>
                    <xdr:colOff>295275</xdr:colOff>
                    <xdr:row>76</xdr:row>
                    <xdr:rowOff>304800</xdr:rowOff>
                  </from>
                  <to>
                    <xdr:col>14</xdr:col>
                    <xdr:colOff>771525</xdr:colOff>
                    <xdr:row>78</xdr:row>
                    <xdr:rowOff>257175</xdr:rowOff>
                  </to>
                </anchor>
              </controlPr>
            </control>
          </mc:Choice>
        </mc:AlternateContent>
        <mc:AlternateContent xmlns:mc="http://schemas.openxmlformats.org/markup-compatibility/2006">
          <mc:Choice Requires="x14">
            <control shapeId="49166" r:id="rId40" name="Option Button 2062">
              <controlPr defaultSize="0" autoFill="0" autoLine="0" autoPict="0">
                <anchor moveWithCells="1">
                  <from>
                    <xdr:col>5</xdr:col>
                    <xdr:colOff>171450</xdr:colOff>
                    <xdr:row>77</xdr:row>
                    <xdr:rowOff>85725</xdr:rowOff>
                  </from>
                  <to>
                    <xdr:col>5</xdr:col>
                    <xdr:colOff>609600</xdr:colOff>
                    <xdr:row>77</xdr:row>
                    <xdr:rowOff>247650</xdr:rowOff>
                  </to>
                </anchor>
              </controlPr>
            </control>
          </mc:Choice>
        </mc:AlternateContent>
        <mc:AlternateContent xmlns:mc="http://schemas.openxmlformats.org/markup-compatibility/2006">
          <mc:Choice Requires="x14">
            <control shapeId="49167" r:id="rId41" name="Option Button 2063">
              <controlPr defaultSize="0" autoFill="0" autoLine="0" autoPict="0">
                <anchor moveWithCells="1">
                  <from>
                    <xdr:col>6</xdr:col>
                    <xdr:colOff>495300</xdr:colOff>
                    <xdr:row>77</xdr:row>
                    <xdr:rowOff>85725</xdr:rowOff>
                  </from>
                  <to>
                    <xdr:col>7</xdr:col>
                    <xdr:colOff>333375</xdr:colOff>
                    <xdr:row>77</xdr:row>
                    <xdr:rowOff>247650</xdr:rowOff>
                  </to>
                </anchor>
              </controlPr>
            </control>
          </mc:Choice>
        </mc:AlternateContent>
        <mc:AlternateContent xmlns:mc="http://schemas.openxmlformats.org/markup-compatibility/2006">
          <mc:Choice Requires="x14">
            <control shapeId="49198" r:id="rId42" name="Check Box 2094">
              <controlPr defaultSize="0" autoFill="0" autoLine="0" autoPict="0">
                <anchor moveWithCells="1">
                  <from>
                    <xdr:col>12</xdr:col>
                    <xdr:colOff>771525</xdr:colOff>
                    <xdr:row>78</xdr:row>
                    <xdr:rowOff>104775</xdr:rowOff>
                  </from>
                  <to>
                    <xdr:col>13</xdr:col>
                    <xdr:colOff>180975</xdr:colOff>
                    <xdr:row>78</xdr:row>
                    <xdr:rowOff>257175</xdr:rowOff>
                  </to>
                </anchor>
              </controlPr>
            </control>
          </mc:Choice>
        </mc:AlternateContent>
        <mc:AlternateContent xmlns:mc="http://schemas.openxmlformats.org/markup-compatibility/2006">
          <mc:Choice Requires="x14">
            <control shapeId="49399" r:id="rId43" name="Option Button 2295">
              <controlPr defaultSize="0" autoFill="0" autoLine="0" autoPict="0">
                <anchor moveWithCells="1">
                  <from>
                    <xdr:col>10</xdr:col>
                    <xdr:colOff>581025</xdr:colOff>
                    <xdr:row>77</xdr:row>
                    <xdr:rowOff>57150</xdr:rowOff>
                  </from>
                  <to>
                    <xdr:col>11</xdr:col>
                    <xdr:colOff>133350</xdr:colOff>
                    <xdr:row>77</xdr:row>
                    <xdr:rowOff>276225</xdr:rowOff>
                  </to>
                </anchor>
              </controlPr>
            </control>
          </mc:Choice>
        </mc:AlternateContent>
        <mc:AlternateContent xmlns:mc="http://schemas.openxmlformats.org/markup-compatibility/2006">
          <mc:Choice Requires="x14">
            <control shapeId="49805" r:id="rId44" name="Option Button 2701">
              <controlPr defaultSize="0" autoFill="0" autoLine="0" autoPict="0">
                <anchor moveWithCells="1">
                  <from>
                    <xdr:col>10</xdr:col>
                    <xdr:colOff>809625</xdr:colOff>
                    <xdr:row>74</xdr:row>
                    <xdr:rowOff>38100</xdr:rowOff>
                  </from>
                  <to>
                    <xdr:col>11</xdr:col>
                    <xdr:colOff>371475</xdr:colOff>
                    <xdr:row>74</xdr:row>
                    <xdr:rowOff>295275</xdr:rowOff>
                  </to>
                </anchor>
              </controlPr>
            </control>
          </mc:Choice>
        </mc:AlternateContent>
        <mc:AlternateContent xmlns:mc="http://schemas.openxmlformats.org/markup-compatibility/2006">
          <mc:Choice Requires="x14">
            <control shapeId="49895" r:id="rId45" name="Group Box 2791">
              <controlPr defaultSize="0" autoFill="0" autoPict="0">
                <anchor moveWithCells="1">
                  <from>
                    <xdr:col>9</xdr:col>
                    <xdr:colOff>66675</xdr:colOff>
                    <xdr:row>83</xdr:row>
                    <xdr:rowOff>0</xdr:rowOff>
                  </from>
                  <to>
                    <xdr:col>12</xdr:col>
                    <xdr:colOff>628650</xdr:colOff>
                    <xdr:row>84</xdr:row>
                    <xdr:rowOff>0</xdr:rowOff>
                  </to>
                </anchor>
              </controlPr>
            </control>
          </mc:Choice>
        </mc:AlternateContent>
        <mc:AlternateContent xmlns:mc="http://schemas.openxmlformats.org/markup-compatibility/2006">
          <mc:Choice Requires="x14">
            <control shapeId="49898" r:id="rId46" name="Option Button 2794">
              <controlPr defaultSize="0" autoFill="0" autoLine="0" autoPict="0">
                <anchor moveWithCells="1">
                  <from>
                    <xdr:col>9</xdr:col>
                    <xdr:colOff>209550</xdr:colOff>
                    <xdr:row>83</xdr:row>
                    <xdr:rowOff>57150</xdr:rowOff>
                  </from>
                  <to>
                    <xdr:col>9</xdr:col>
                    <xdr:colOff>714375</xdr:colOff>
                    <xdr:row>83</xdr:row>
                    <xdr:rowOff>266700</xdr:rowOff>
                  </to>
                </anchor>
              </controlPr>
            </control>
          </mc:Choice>
        </mc:AlternateContent>
        <mc:AlternateContent xmlns:mc="http://schemas.openxmlformats.org/markup-compatibility/2006">
          <mc:Choice Requires="x14">
            <control shapeId="49899" r:id="rId47" name="Option Button 2795">
              <controlPr defaultSize="0" autoFill="0" autoLine="0" autoPict="0">
                <anchor moveWithCells="1">
                  <from>
                    <xdr:col>11</xdr:col>
                    <xdr:colOff>219075</xdr:colOff>
                    <xdr:row>83</xdr:row>
                    <xdr:rowOff>38100</xdr:rowOff>
                  </from>
                  <to>
                    <xdr:col>11</xdr:col>
                    <xdr:colOff>914400</xdr:colOff>
                    <xdr:row>83</xdr:row>
                    <xdr:rowOff>257175</xdr:rowOff>
                  </to>
                </anchor>
              </controlPr>
            </control>
          </mc:Choice>
        </mc:AlternateContent>
        <mc:AlternateContent xmlns:mc="http://schemas.openxmlformats.org/markup-compatibility/2006">
          <mc:Choice Requires="x14">
            <control shapeId="49904" r:id="rId48" name="Group Box 2800">
              <controlPr defaultSize="0" autoFill="0" autoPict="0">
                <anchor moveWithCells="1">
                  <from>
                    <xdr:col>5</xdr:col>
                    <xdr:colOff>9525</xdr:colOff>
                    <xdr:row>83</xdr:row>
                    <xdr:rowOff>9525</xdr:rowOff>
                  </from>
                  <to>
                    <xdr:col>8</xdr:col>
                    <xdr:colOff>9525</xdr:colOff>
                    <xdr:row>83</xdr:row>
                    <xdr:rowOff>304800</xdr:rowOff>
                  </to>
                </anchor>
              </controlPr>
            </control>
          </mc:Choice>
        </mc:AlternateContent>
        <mc:AlternateContent xmlns:mc="http://schemas.openxmlformats.org/markup-compatibility/2006">
          <mc:Choice Requires="x14">
            <control shapeId="49905" r:id="rId49" name="Option Button 2801">
              <controlPr defaultSize="0" autoFill="0" autoLine="0" autoPict="0">
                <anchor moveWithCells="1">
                  <from>
                    <xdr:col>5</xdr:col>
                    <xdr:colOff>104775</xdr:colOff>
                    <xdr:row>83</xdr:row>
                    <xdr:rowOff>57150</xdr:rowOff>
                  </from>
                  <to>
                    <xdr:col>5</xdr:col>
                    <xdr:colOff>438150</xdr:colOff>
                    <xdr:row>83</xdr:row>
                    <xdr:rowOff>266700</xdr:rowOff>
                  </to>
                </anchor>
              </controlPr>
            </control>
          </mc:Choice>
        </mc:AlternateContent>
        <mc:AlternateContent xmlns:mc="http://schemas.openxmlformats.org/markup-compatibility/2006">
          <mc:Choice Requires="x14">
            <control shapeId="49908" r:id="rId50" name="Option Button 2804">
              <controlPr defaultSize="0" autoFill="0" autoLine="0" autoPict="0">
                <anchor moveWithCells="1">
                  <from>
                    <xdr:col>7</xdr:col>
                    <xdr:colOff>200025</xdr:colOff>
                    <xdr:row>83</xdr:row>
                    <xdr:rowOff>66675</xdr:rowOff>
                  </from>
                  <to>
                    <xdr:col>7</xdr:col>
                    <xdr:colOff>904875</xdr:colOff>
                    <xdr:row>83</xdr:row>
                    <xdr:rowOff>276225</xdr:rowOff>
                  </to>
                </anchor>
              </controlPr>
            </control>
          </mc:Choice>
        </mc:AlternateContent>
        <mc:AlternateContent xmlns:mc="http://schemas.openxmlformats.org/markup-compatibility/2006">
          <mc:Choice Requires="x14">
            <control shapeId="50083" r:id="rId51" name="Check Box 2979">
              <controlPr defaultSize="0" autoFill="0" autoLine="0" autoPict="0">
                <anchor moveWithCells="1">
                  <from>
                    <xdr:col>3</xdr:col>
                    <xdr:colOff>847725</xdr:colOff>
                    <xdr:row>14</xdr:row>
                    <xdr:rowOff>180975</xdr:rowOff>
                  </from>
                  <to>
                    <xdr:col>4</xdr:col>
                    <xdr:colOff>266700</xdr:colOff>
                    <xdr:row>16</xdr:row>
                    <xdr:rowOff>9525</xdr:rowOff>
                  </to>
                </anchor>
              </controlPr>
            </control>
          </mc:Choice>
        </mc:AlternateContent>
        <mc:AlternateContent xmlns:mc="http://schemas.openxmlformats.org/markup-compatibility/2006">
          <mc:Choice Requires="x14">
            <control shapeId="68043" r:id="rId52" name="Group Box 3531">
              <controlPr defaultSize="0" autoFill="0" autoPict="0">
                <anchor moveWithCells="1">
                  <from>
                    <xdr:col>4</xdr:col>
                    <xdr:colOff>1009650</xdr:colOff>
                    <xdr:row>79</xdr:row>
                    <xdr:rowOff>314325</xdr:rowOff>
                  </from>
                  <to>
                    <xdr:col>13</xdr:col>
                    <xdr:colOff>342900</xdr:colOff>
                    <xdr:row>81</xdr:row>
                    <xdr:rowOff>9525</xdr:rowOff>
                  </to>
                </anchor>
              </controlPr>
            </control>
          </mc:Choice>
        </mc:AlternateContent>
        <mc:AlternateContent xmlns:mc="http://schemas.openxmlformats.org/markup-compatibility/2006">
          <mc:Choice Requires="x14">
            <control shapeId="68044" r:id="rId53" name="Option Button 3532">
              <controlPr defaultSize="0" autoFill="0" autoLine="0" autoPict="0">
                <anchor moveWithCells="1">
                  <from>
                    <xdr:col>5</xdr:col>
                    <xdr:colOff>104775</xdr:colOff>
                    <xdr:row>80</xdr:row>
                    <xdr:rowOff>47625</xdr:rowOff>
                  </from>
                  <to>
                    <xdr:col>5</xdr:col>
                    <xdr:colOff>581025</xdr:colOff>
                    <xdr:row>80</xdr:row>
                    <xdr:rowOff>266700</xdr:rowOff>
                  </to>
                </anchor>
              </controlPr>
            </control>
          </mc:Choice>
        </mc:AlternateContent>
        <mc:AlternateContent xmlns:mc="http://schemas.openxmlformats.org/markup-compatibility/2006">
          <mc:Choice Requires="x14">
            <control shapeId="68045" r:id="rId54" name="Option Button 3533">
              <controlPr defaultSize="0" autoFill="0" autoLine="0" autoPict="0">
                <anchor moveWithCells="1">
                  <from>
                    <xdr:col>6</xdr:col>
                    <xdr:colOff>571500</xdr:colOff>
                    <xdr:row>80</xdr:row>
                    <xdr:rowOff>57150</xdr:rowOff>
                  </from>
                  <to>
                    <xdr:col>7</xdr:col>
                    <xdr:colOff>428625</xdr:colOff>
                    <xdr:row>80</xdr:row>
                    <xdr:rowOff>276225</xdr:rowOff>
                  </to>
                </anchor>
              </controlPr>
            </control>
          </mc:Choice>
        </mc:AlternateContent>
        <mc:AlternateContent xmlns:mc="http://schemas.openxmlformats.org/markup-compatibility/2006">
          <mc:Choice Requires="x14">
            <control shapeId="68046" r:id="rId55" name="Option Button 3534">
              <controlPr defaultSize="0" autoFill="0" autoLine="0" autoPict="0">
                <anchor moveWithCells="1">
                  <from>
                    <xdr:col>8</xdr:col>
                    <xdr:colOff>676275</xdr:colOff>
                    <xdr:row>80</xdr:row>
                    <xdr:rowOff>38100</xdr:rowOff>
                  </from>
                  <to>
                    <xdr:col>9</xdr:col>
                    <xdr:colOff>238125</xdr:colOff>
                    <xdr:row>80</xdr:row>
                    <xdr:rowOff>257175</xdr:rowOff>
                  </to>
                </anchor>
              </controlPr>
            </control>
          </mc:Choice>
        </mc:AlternateContent>
        <mc:AlternateContent xmlns:mc="http://schemas.openxmlformats.org/markup-compatibility/2006">
          <mc:Choice Requires="x14">
            <control shapeId="68117" r:id="rId56" name="Option Button 3605">
              <controlPr defaultSize="0" autoFill="0" autoLine="0" autoPict="0">
                <anchor moveWithCells="1">
                  <from>
                    <xdr:col>12</xdr:col>
                    <xdr:colOff>714375</xdr:colOff>
                    <xdr:row>80</xdr:row>
                    <xdr:rowOff>38100</xdr:rowOff>
                  </from>
                  <to>
                    <xdr:col>13</xdr:col>
                    <xdr:colOff>171450</xdr:colOff>
                    <xdr:row>80</xdr:row>
                    <xdr:rowOff>257175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 id="{2A494715-1A1A-4F7E-A3FE-1731B3CB52CC}">
            <xm:f>Data!$B$67</xm:f>
            <x14:dxf>
              <font>
                <color theme="1"/>
              </font>
            </x14:dxf>
          </x14:cfRule>
          <xm:sqref>F77:G77 I77:L77</xm:sqref>
        </x14:conditionalFormatting>
        <x14:conditionalFormatting xmlns:xm="http://schemas.microsoft.com/office/excel/2006/main">
          <x14:cfRule type="expression" priority="15" id="{EAA02535-ED6A-458C-88B5-64E6FC4EB5D8}">
            <xm:f>Equations!$C$670</xm:f>
            <x14:dxf>
              <border>
                <left style="thin">
                  <color theme="1" tint="0.24994659260841701"/>
                </left>
                <right style="thin">
                  <color theme="1" tint="0.24994659260841701"/>
                </right>
                <vertical/>
                <horizontal/>
              </border>
            </x14:dxf>
          </x14:cfRule>
          <xm:sqref>H55:H59 R55:R59</xm:sqref>
        </x14:conditionalFormatting>
        <x14:conditionalFormatting xmlns:xm="http://schemas.microsoft.com/office/excel/2006/main">
          <x14:cfRule type="expression" priority="11" id="{39351108-7280-4F32-B15E-74FC1974FCF2}">
            <xm:f>Equations!$C$671</xm:f>
            <x14:dxf>
              <border>
                <left style="thin">
                  <color theme="1" tint="0.24994659260841701"/>
                </left>
                <right style="thin">
                  <color theme="1" tint="0.24994659260841701"/>
                </right>
                <vertical/>
                <horizontal/>
              </border>
            </x14:dxf>
          </x14:cfRule>
          <xm:sqref>H60:H64 R60:R64</xm:sqref>
        </x14:conditionalFormatting>
        <x14:conditionalFormatting xmlns:xm="http://schemas.microsoft.com/office/excel/2006/main">
          <x14:cfRule type="expression" priority="9" id="{430D8C15-9C48-4218-9127-F09EF815781B}">
            <xm:f>Equations!$C$672</xm:f>
            <x14:dxf>
              <border>
                <left style="thin">
                  <color theme="1" tint="0.24994659260841701"/>
                </left>
                <right style="thin">
                  <color theme="1" tint="0.24994659260841701"/>
                </right>
                <vertical/>
                <horizontal/>
              </border>
            </x14:dxf>
          </x14:cfRule>
          <xm:sqref>H65:H69 R65:R69</xm:sqref>
        </x14:conditionalFormatting>
        <x14:conditionalFormatting xmlns:xm="http://schemas.microsoft.com/office/excel/2006/main">
          <x14:cfRule type="expression" priority="53" id="{00000000-000E-0000-0000-00008B000000}">
            <xm:f>Equations!C$645</xm:f>
            <x14:dxf>
              <fill>
                <patternFill>
                  <bgColor theme="0" tint="-0.14996795556505021"/>
                </patternFill>
              </fill>
            </x14:dxf>
          </x14:cfRule>
          <xm:sqref>H34:R69</xm:sqref>
        </x14:conditionalFormatting>
        <x14:conditionalFormatting xmlns:xm="http://schemas.microsoft.com/office/excel/2006/main">
          <x14:cfRule type="expression" priority="63" id="{823530BC-E902-404E-B0D9-25D39AE762BC}">
            <xm:f>Equations!C$642</xm:f>
            <x14:dxf>
              <font>
                <color rgb="FFC00000"/>
              </font>
            </x14:dxf>
          </x14:cfRule>
          <xm:sqref>H36:R36</xm:sqref>
        </x14:conditionalFormatting>
        <x14:conditionalFormatting xmlns:xm="http://schemas.microsoft.com/office/excel/2006/main">
          <x14:cfRule type="expression" priority="1" id="{22990774-983E-4E1E-890B-2210724EC5F7}">
            <xm:f>(Equations!C$643=1)</xm:f>
            <x14:dxf>
              <font>
                <color theme="9" tint="-0.24994659260841701"/>
              </font>
            </x14:dxf>
          </x14:cfRule>
          <x14:cfRule type="expression" priority="39" id="{8FF064C1-6343-4408-B955-623F14F7E77F}">
            <xm:f>(Equations!C$643=2)</xm:f>
            <x14:dxf>
              <font>
                <color rgb="FFC00000"/>
              </font>
            </x14:dxf>
          </x14:cfRule>
          <xm:sqref>H38:R38</xm:sqref>
        </x14:conditionalFormatting>
        <x14:conditionalFormatting xmlns:xm="http://schemas.microsoft.com/office/excel/2006/main">
          <x14:cfRule type="expression" priority="61" id="{1E4FF92E-2CC3-490A-A470-6233E42DAC85}">
            <xm:f>Equations!C$644</xm:f>
            <x14:dxf>
              <font>
                <color rgb="FFC00000"/>
              </font>
            </x14:dxf>
          </x14:cfRule>
          <xm:sqref>H40:R41</xm:sqref>
        </x14:conditionalFormatting>
        <x14:conditionalFormatting xmlns:xm="http://schemas.microsoft.com/office/excel/2006/main">
          <x14:cfRule type="expression" priority="246" id="{E1FB1CAC-0CFB-4A42-AD52-18CF375DB35C}">
            <xm:f>OR(Equations!C$652,Equations!C$648)</xm:f>
            <x14:dxf>
              <font>
                <color rgb="FFC00000"/>
              </font>
            </x14:dxf>
          </x14:cfRule>
          <xm:sqref>H46:R46</xm:sqref>
        </x14:conditionalFormatting>
        <x14:conditionalFormatting xmlns:xm="http://schemas.microsoft.com/office/excel/2006/main">
          <x14:cfRule type="containsText" priority="207" operator="containsText" id="{CB7B28DD-6142-4929-9CF4-819345C1C1F0}">
            <xm:f>NOT(ISERROR(SEARCH("-",H46)))</xm:f>
            <xm:f>"-"</xm:f>
            <x14:dxf>
              <font>
                <color rgb="FFC00000"/>
              </font>
            </x14:dxf>
          </x14:cfRule>
          <xm:sqref>H46:R49</xm:sqref>
        </x14:conditionalFormatting>
        <x14:conditionalFormatting xmlns:xm="http://schemas.microsoft.com/office/excel/2006/main">
          <x14:cfRule type="expression" priority="252" id="{0B252E4A-DBD9-4264-B048-CEB9C5507376}">
            <xm:f>OR(Equations!C$653,Equations!C$649)</xm:f>
            <x14:dxf>
              <font>
                <color rgb="FFC00000"/>
              </font>
            </x14:dxf>
          </x14:cfRule>
          <xm:sqref>H47:R47</xm:sqref>
        </x14:conditionalFormatting>
        <x14:conditionalFormatting xmlns:xm="http://schemas.microsoft.com/office/excel/2006/main">
          <x14:cfRule type="expression" priority="258" id="{FB757FDA-A53B-4B6F-93D3-052A896A01CA}">
            <xm:f>OR(Equations!C$654,Equations!C$650)</xm:f>
            <x14:dxf>
              <font>
                <color rgb="FFC00000"/>
              </font>
            </x14:dxf>
          </x14:cfRule>
          <xm:sqref>H48:R48</xm:sqref>
        </x14:conditionalFormatting>
        <x14:conditionalFormatting xmlns:xm="http://schemas.microsoft.com/office/excel/2006/main">
          <x14:cfRule type="expression" priority="14" id="{EBDA8A95-EF2B-412D-9075-97E38C759357}">
            <xm:f>Equations!$C$670</xm:f>
            <x14:dxf>
              <border>
                <top style="thin">
                  <color theme="1" tint="0.24994659260841701"/>
                </top>
                <vertical/>
                <horizontal/>
              </border>
            </x14:dxf>
          </x14:cfRule>
          <xm:sqref>H55:R55</xm:sqref>
        </x14:conditionalFormatting>
        <x14:conditionalFormatting xmlns:xm="http://schemas.microsoft.com/office/excel/2006/main">
          <x14:cfRule type="expression" priority="20" id="{B1D3B4EA-7B0E-4CE0-A928-3CD4DE8C5B20}">
            <xm:f>(Equations!C$660=2)</xm:f>
            <x14:dxf>
              <font>
                <color rgb="FFC00000"/>
              </font>
            </x14:dxf>
          </x14:cfRule>
          <x14:cfRule type="expression" priority="47" id="{EA1CD2CB-2239-47E4-8C05-3C61CB3D2A75}">
            <xm:f>(Equations!C$660=1)</xm:f>
            <x14:dxf>
              <font>
                <color theme="9" tint="-0.24994659260841701"/>
              </font>
            </x14:dxf>
          </x14:cfRule>
          <xm:sqref>H56:R57</xm:sqref>
        </x14:conditionalFormatting>
        <x14:conditionalFormatting xmlns:xm="http://schemas.microsoft.com/office/excel/2006/main">
          <x14:cfRule type="expression" priority="37" id="{84A2F6E6-694C-488E-AF15-B5CB3E6FD2F5}">
            <xm:f>(Equations!C$661=1)</xm:f>
            <x14:dxf>
              <font>
                <color theme="9" tint="-0.24994659260841701"/>
              </font>
            </x14:dxf>
          </x14:cfRule>
          <x14:cfRule type="expression" priority="38" id="{434CBEF6-92F0-4643-9647-091E145E293A}">
            <xm:f>(Equations!C$661=2)</xm:f>
            <x14:dxf>
              <font>
                <color rgb="FFC00000"/>
              </font>
            </x14:dxf>
          </x14:cfRule>
          <xm:sqref>H58:R59</xm:sqref>
        </x14:conditionalFormatting>
        <x14:conditionalFormatting xmlns:xm="http://schemas.microsoft.com/office/excel/2006/main">
          <x14:cfRule type="expression" priority="12" id="{20A9B93F-EC12-4DD1-9FA1-68925E7D2616}">
            <xm:f>AND(Equations!$C$670,Equations!$C$671)</xm:f>
            <x14:dxf>
              <border>
                <bottom style="thin">
                  <color theme="1" tint="0.24994659260841701"/>
                </bottom>
                <vertical/>
                <horizontal/>
              </border>
            </x14:dxf>
          </x14:cfRule>
          <xm:sqref>H59:R59</xm:sqref>
        </x14:conditionalFormatting>
        <x14:conditionalFormatting xmlns:xm="http://schemas.microsoft.com/office/excel/2006/main">
          <x14:cfRule type="expression" priority="18" id="{C7A29372-6BEB-4133-9D4D-ED30611ACAAB}">
            <xm:f>(Equations!C$663=2)</xm:f>
            <x14:dxf>
              <font>
                <color rgb="FFC00000"/>
              </font>
            </x14:dxf>
          </x14:cfRule>
          <x14:cfRule type="expression" priority="19" id="{13434E3B-4B01-47CD-82E4-823BDF26E472}">
            <xm:f>(Equations!C$663=1)</xm:f>
            <x14:dxf>
              <font>
                <color theme="9" tint="-0.24994659260841701"/>
              </font>
            </x14:dxf>
          </x14:cfRule>
          <xm:sqref>H61:R62</xm:sqref>
        </x14:conditionalFormatting>
        <x14:conditionalFormatting xmlns:xm="http://schemas.microsoft.com/office/excel/2006/main">
          <x14:cfRule type="expression" priority="45" id="{4A7B6649-CCAC-4EA5-BDBF-526CB784A7B6}">
            <xm:f>(Equations!C$664=1)</xm:f>
            <x14:dxf>
              <font>
                <color theme="9" tint="-0.24994659260841701"/>
              </font>
            </x14:dxf>
          </x14:cfRule>
          <x14:cfRule type="expression" priority="35" id="{C82653E6-C7A6-4E15-8D12-DDEE930C7DC3}">
            <xm:f>(Equations!C$664=2)</xm:f>
            <x14:dxf>
              <font>
                <color rgb="FFC00000"/>
              </font>
            </x14:dxf>
          </x14:cfRule>
          <xm:sqref>H63:R64</xm:sqref>
        </x14:conditionalFormatting>
        <x14:conditionalFormatting xmlns:xm="http://schemas.microsoft.com/office/excel/2006/main">
          <x14:cfRule type="expression" priority="10" id="{729D73CB-45FE-4D37-8CD3-D7EA374E0FEA}">
            <xm:f>AND(Equations!$C$671,Equations!$C$672)</xm:f>
            <x14:dxf>
              <border>
                <bottom style="thin">
                  <color theme="1" tint="0.24994659260841701"/>
                </bottom>
                <vertical/>
                <horizontal/>
              </border>
            </x14:dxf>
          </x14:cfRule>
          <xm:sqref>H64:R64</xm:sqref>
        </x14:conditionalFormatting>
        <x14:conditionalFormatting xmlns:xm="http://schemas.microsoft.com/office/excel/2006/main">
          <x14:cfRule type="expression" priority="46" id="{FF049A3C-4FC5-4EC5-9EB8-D556B373FA8E}">
            <xm:f>Equations!$C$663</xm:f>
            <x14:dxf>
              <font>
                <color rgb="FFC00000"/>
              </font>
            </x14:dxf>
          </x14:cfRule>
          <x14:cfRule type="expression" priority="17" id="{C54D3B18-D0A3-41C2-8185-06331C3F293C}">
            <xm:f>(Equations!C$666=1)</xm:f>
            <x14:dxf>
              <font>
                <color theme="9" tint="-0.24994659260841701"/>
              </font>
            </x14:dxf>
          </x14:cfRule>
          <x14:cfRule type="expression" priority="16" id="{9407A448-951A-44C7-9F03-3B38F6162ED0}">
            <xm:f>(Equations!C$666=2)</xm:f>
            <x14:dxf>
              <font>
                <color rgb="FFC00000"/>
              </font>
            </x14:dxf>
          </x14:cfRule>
          <xm:sqref>H66:R67</xm:sqref>
        </x14:conditionalFormatting>
        <x14:conditionalFormatting xmlns:xm="http://schemas.microsoft.com/office/excel/2006/main">
          <x14:cfRule type="expression" priority="44" id="{1609A58C-676E-4F9C-9294-45B3CF6FA83C}">
            <xm:f>(Equations!C$667=2)</xm:f>
            <x14:dxf>
              <font>
                <color rgb="FFC00000"/>
              </font>
            </x14:dxf>
          </x14:cfRule>
          <x14:cfRule type="expression" priority="43" id="{424249FA-489C-48FF-A2C7-12DF2EF56375}">
            <xm:f>(Equations!C$664=1)</xm:f>
            <x14:dxf>
              <font>
                <color theme="9" tint="-0.24994659260841701"/>
              </font>
            </x14:dxf>
          </x14:cfRule>
          <x14:cfRule type="expression" priority="42" id="{2168DE00-B58B-4A68-992B-42FD61637D52}">
            <xm:f>(Equations!C$664=2)</xm:f>
            <x14:dxf>
              <font>
                <color rgb="FFC00000"/>
              </font>
            </x14:dxf>
          </x14:cfRule>
          <x14:cfRule type="expression" priority="36" id="{FCFF9B0D-9E7E-4097-B18B-D9F1FB02BA2B}">
            <xm:f>(Equations!C$667=1)</xm:f>
            <x14:dxf>
              <font>
                <color theme="9" tint="-0.24994659260841701"/>
              </font>
            </x14:dxf>
          </x14:cfRule>
          <xm:sqref>H68:R69</xm:sqref>
        </x14:conditionalFormatting>
        <x14:conditionalFormatting xmlns:xm="http://schemas.microsoft.com/office/excel/2006/main">
          <x14:cfRule type="expression" priority="8" id="{656F1771-C07B-4241-AEB9-3EE9E9AA1997}">
            <xm:f>Equations!$C$672</xm:f>
            <x14:dxf>
              <border>
                <bottom style="thin">
                  <color theme="1" tint="0.24994659260841701"/>
                </bottom>
                <vertical/>
                <horizontal/>
              </border>
            </x14:dxf>
          </x14:cfRule>
          <xm:sqref>H69:R69</xm:sqref>
        </x14:conditionalFormatting>
        <x14:conditionalFormatting xmlns:xm="http://schemas.microsoft.com/office/excel/2006/main">
          <x14:cfRule type="expression" priority="2" id="{BEF0F083-6E36-4B0A-85D6-CC8F5566F1CD}">
            <xm:f>NOT(Equations!$C$17)</xm:f>
            <x14:dxf>
              <font>
                <color theme="1"/>
              </font>
            </x14:dxf>
          </x14:cfRule>
          <xm:sqref>J81 N81</xm:sqref>
        </x14:conditionalFormatting>
        <x14:conditionalFormatting xmlns:xm="http://schemas.microsoft.com/office/excel/2006/main">
          <x14:cfRule type="expression" priority="91" id="{D2782EF1-C7B1-43F5-9268-78E7D51793B6}">
            <xm:f>(Equations!$C$28&lt;&gt;2)</xm:f>
            <x14:dxf>
              <font>
                <color theme="0" tint="-0.34998626667073579"/>
              </font>
            </x14:dxf>
          </x14:cfRule>
          <xm:sqref>K17:L17 N17 P17:S17</xm:sqref>
        </x14:conditionalFormatting>
        <x14:conditionalFormatting xmlns:xm="http://schemas.microsoft.com/office/excel/2006/main">
          <x14:cfRule type="expression" priority="85" id="{0175E154-33B3-42F6-B54C-949CBD69F055}">
            <xm:f>(Equations!$C$28&lt;&gt;3)</xm:f>
            <x14:dxf>
              <font>
                <color theme="0" tint="-0.34998626667073579"/>
              </font>
            </x14:dxf>
          </x14:cfRule>
          <xm:sqref>K19:L19 N19 P19:S19</xm:sqref>
        </x14:conditionalFormatting>
        <x14:conditionalFormatting xmlns:xm="http://schemas.microsoft.com/office/excel/2006/main">
          <x14:cfRule type="expression" priority="56" id="{DB850137-C833-4DB3-A3EA-229CC22C322F}">
            <xm:f>(Equations!$C$28&lt;&gt;1)</xm:f>
            <x14:dxf>
              <font>
                <color theme="0" tint="-0.34998626667073579"/>
              </font>
            </x14:dxf>
          </x14:cfRule>
          <xm:sqref>K15:N15 P15:S15</xm:sqref>
        </x14:conditionalFormatting>
        <x14:conditionalFormatting xmlns:xm="http://schemas.microsoft.com/office/excel/2006/main">
          <x14:cfRule type="expression" priority="5" id="{E9DAB72B-65DC-4BC6-BFDA-3FD22ABDFF14}">
            <xm:f>Data!$B$59</xm:f>
            <x14:dxf>
              <font>
                <color theme="0" tint="-0.34998626667073579"/>
              </font>
            </x14:dxf>
          </x14:cfRule>
          <xm:sqref>L75</xm:sqref>
        </x14:conditionalFormatting>
        <x14:conditionalFormatting xmlns:xm="http://schemas.microsoft.com/office/excel/2006/main">
          <x14:cfRule type="expression" priority="7" id="{6DF12368-74AA-4E75-8405-5AB2E8ACD9A4}">
            <xm:f>Data!$A$83=3</xm:f>
            <x14:dxf>
              <font>
                <color theme="0" tint="-0.34998626667073579"/>
              </font>
            </x14:dxf>
          </x14:cfRule>
          <xm:sqref>L79:O79</xm:sqref>
        </x14:conditionalFormatting>
        <x14:conditionalFormatting xmlns:xm="http://schemas.microsoft.com/office/excel/2006/main">
          <x14:cfRule type="expression" priority="82" id="{26A54C63-3528-4148-852A-DBF1A4D78866}">
            <xm:f>(Equations!$C$28&lt;&gt;1)</xm:f>
            <x14:dxf>
              <font>
                <color theme="0" tint="-0.14996795556505021"/>
              </font>
            </x14:dxf>
          </x14:cfRule>
          <xm:sqref>M16 P16:S16</xm:sqref>
        </x14:conditionalFormatting>
        <x14:conditionalFormatting xmlns:xm="http://schemas.microsoft.com/office/excel/2006/main">
          <x14:cfRule type="expression" priority="599" id="{00000000-000E-0000-0000-0000B5000000}">
            <xm:f>OR(Equations!$N$656,Equations!$N$658)</xm:f>
            <x14:dxf>
              <font>
                <color rgb="FFC00000"/>
              </font>
            </x14:dxf>
          </x14:cfRule>
          <x14:cfRule type="expression" priority="598" id="{C050A3BB-04DD-4A66-9F57-1A31EEFB16B8}">
            <xm:f>NOT(Equations!$C$28=2)</xm:f>
            <x14:dxf>
              <font>
                <color theme="1" tint="0.34998626667073579"/>
              </font>
              <fill>
                <patternFill>
                  <bgColor theme="1" tint="0.499984740745262"/>
                </patternFill>
              </fill>
              <border>
                <left style="thin">
                  <color auto="1"/>
                </left>
                <right style="thin">
                  <color auto="1"/>
                </right>
                <top style="thin">
                  <color auto="1"/>
                </top>
                <bottom style="thin">
                  <color auto="1"/>
                </bottom>
              </border>
            </x14:dxf>
          </x14:cfRule>
          <xm:sqref>M17</xm:sqref>
        </x14:conditionalFormatting>
        <x14:conditionalFormatting xmlns:xm="http://schemas.microsoft.com/office/excel/2006/main">
          <x14:cfRule type="expression" priority="86" id="{EAD34E47-0EEC-4523-9E95-0CDE93CA9A2A}">
            <xm:f>NOT(Equations!$C$28=3)</xm:f>
            <x14:dxf>
              <font>
                <color theme="1" tint="0.34998626667073579"/>
              </font>
              <fill>
                <patternFill>
                  <bgColor theme="1" tint="0.499984740745262"/>
                </patternFill>
              </fill>
              <border>
                <left style="thin">
                  <color auto="1"/>
                </left>
                <right style="thin">
                  <color auto="1"/>
                </right>
                <top style="thin">
                  <color auto="1"/>
                </top>
                <bottom style="thin">
                  <color auto="1"/>
                </bottom>
                <vertical/>
                <horizontal/>
              </border>
            </x14:dxf>
          </x14:cfRule>
          <xm:sqref>M19</xm:sqref>
        </x14:conditionalFormatting>
        <x14:conditionalFormatting xmlns:xm="http://schemas.microsoft.com/office/excel/2006/main">
          <x14:cfRule type="expression" priority="83" id="{18C3FDDE-1260-4147-88F6-A944F5EA8E56}">
            <xm:f>(Equations!$C$28&lt;&gt;2)</xm:f>
            <x14:dxf>
              <font>
                <color theme="0" tint="-0.14996795556505021"/>
              </font>
            </x14:dxf>
          </x14:cfRule>
          <xm:sqref>M18:N18 P18:S18</xm:sqref>
        </x14:conditionalFormatting>
        <x14:conditionalFormatting xmlns:xm="http://schemas.microsoft.com/office/excel/2006/main">
          <x14:cfRule type="expression" priority="81" id="{957CFD75-348D-4738-A4E7-9FDBD3A690E0}">
            <xm:f>(Equations!$C$28=3)</xm:f>
            <x14:dxf>
              <font>
                <color theme="1" tint="0.34998626667073579"/>
              </font>
            </x14:dxf>
          </x14:cfRule>
          <xm:sqref>M20:S20 U22</xm:sqref>
        </x14:conditionalFormatting>
        <x14:conditionalFormatting xmlns:xm="http://schemas.microsoft.com/office/excel/2006/main">
          <x14:cfRule type="expression" priority="4" id="{9BE4535D-1468-454F-8EE4-AA56DB96D5EE}">
            <xm:f>Data!$E$56</xm:f>
            <x14:dxf>
              <font>
                <color rgb="FFC00000"/>
              </font>
            </x14:dxf>
          </x14:cfRule>
          <xm:sqref>R75</xm:sqref>
        </x14:conditionalFormatting>
        <x14:conditionalFormatting xmlns:xm="http://schemas.microsoft.com/office/excel/2006/main">
          <x14:cfRule type="expression" priority="400" id="{AC5A3CB2-8D41-41A0-AFE4-5514DF4D309F}">
            <xm:f>Equations!$N$649</xm:f>
            <x14:dxf>
              <font>
                <color rgb="FFC00000"/>
              </font>
            </x14:dxf>
          </x14:cfRule>
          <xm:sqref>S48</xm:sqref>
        </x14:conditionalFormatting>
      </x14:conditionalFormattings>
    </ext>
    <ext xmlns:x14="http://schemas.microsoft.com/office/spreadsheetml/2009/9/main" uri="{CCE6A557-97BC-4b89-ADB6-D9C93CAAB3DF}">
      <x14:dataValidations xmlns:xm="http://schemas.microsoft.com/office/excel/2006/main" xWindow="413" yWindow="296" count="2">
        <x14:dataValidation type="decimal" allowBlank="1" showInputMessage="1" showErrorMessage="1" xr:uid="{0521F006-75D3-499D-80D5-FBDC2CE2A5E6}">
          <x14:formula1>
            <xm:f>0</xm:f>
          </x14:formula1>
          <x14:formula2>
            <xm:f>Equations!$C$6</xm:f>
          </x14:formula2>
          <xm:sqref>E10</xm:sqref>
        </x14:dataValidation>
        <x14:dataValidation type="decimal" operator="lessThan" allowBlank="1" showInputMessage="1" showErrorMessage="1" xr:uid="{00000000-0002-0000-0000-00000B000000}">
          <x14:formula1>
            <xm:f>Equations!E406+1</xm:f>
          </x14:formula1>
          <xm:sqref>M19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CAF2C-EDA0-4854-9F81-9ABBE1D17753}">
  <sheetPr codeName="Sheet9">
    <tabColor theme="9"/>
  </sheetPr>
  <dimension ref="A3:C8"/>
  <sheetViews>
    <sheetView topLeftCell="A4" workbookViewId="0">
      <selection activeCell="B7" sqref="B7"/>
    </sheetView>
  </sheetViews>
  <sheetFormatPr defaultColWidth="9.140625" defaultRowHeight="15" x14ac:dyDescent="0.25"/>
  <cols>
    <col min="1" max="1" width="9.140625" style="380"/>
    <col min="2" max="2" width="118.85546875" style="380" customWidth="1"/>
    <col min="3" max="16384" width="9.140625" style="380"/>
  </cols>
  <sheetData>
    <row r="3" spans="1:3" x14ac:dyDescent="0.25">
      <c r="B3" s="528"/>
    </row>
    <row r="4" spans="1:3" ht="186.75" customHeight="1" x14ac:dyDescent="0.25">
      <c r="A4" s="526"/>
      <c r="C4" s="527"/>
    </row>
    <row r="5" spans="1:3" ht="181.5" customHeight="1" x14ac:dyDescent="0.25">
      <c r="B5" s="529"/>
    </row>
    <row r="6" spans="1:3" ht="181.5" customHeight="1" x14ac:dyDescent="0.25">
      <c r="B6" s="528"/>
    </row>
    <row r="7" spans="1:3" ht="181.5" customHeight="1" x14ac:dyDescent="0.25">
      <c r="A7" s="526"/>
      <c r="C7" s="527"/>
    </row>
    <row r="8" spans="1:3" x14ac:dyDescent="0.25">
      <c r="B8" s="650"/>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15373" r:id="rId4">
          <objectPr defaultSize="0" autoPict="0" r:id="rId5">
            <anchor moveWithCells="1">
              <from>
                <xdr:col>1</xdr:col>
                <xdr:colOff>19050</xdr:colOff>
                <xdr:row>4</xdr:row>
                <xdr:rowOff>19050</xdr:rowOff>
              </from>
              <to>
                <xdr:col>1</xdr:col>
                <xdr:colOff>7905750</xdr:colOff>
                <xdr:row>4</xdr:row>
                <xdr:rowOff>2295525</xdr:rowOff>
              </to>
            </anchor>
          </objectPr>
        </oleObject>
      </mc:Choice>
      <mc:Fallback>
        <oleObject progId="Visio.Drawing.15" shapeId="15373" r:id="rId4"/>
      </mc:Fallback>
    </mc:AlternateContent>
    <mc:AlternateContent xmlns:mc="http://schemas.openxmlformats.org/markup-compatibility/2006">
      <mc:Choice Requires="x14">
        <oleObject progId="Visio.Drawing.15" shapeId="15375" r:id="rId6">
          <objectPr defaultSize="0" autoPict="0" r:id="rId7">
            <anchor moveWithCells="1">
              <from>
                <xdr:col>1</xdr:col>
                <xdr:colOff>19050</xdr:colOff>
                <xdr:row>3</xdr:row>
                <xdr:rowOff>47625</xdr:rowOff>
              </from>
              <to>
                <xdr:col>1</xdr:col>
                <xdr:colOff>7905750</xdr:colOff>
                <xdr:row>3</xdr:row>
                <xdr:rowOff>2333625</xdr:rowOff>
              </to>
            </anchor>
          </objectPr>
        </oleObject>
      </mc:Choice>
      <mc:Fallback>
        <oleObject progId="Visio.Drawing.15" shapeId="15375" r:id="rId6"/>
      </mc:Fallback>
    </mc:AlternateContent>
    <mc:AlternateContent xmlns:mc="http://schemas.openxmlformats.org/markup-compatibility/2006">
      <mc:Choice Requires="x14">
        <oleObject progId="Visio.Drawing.15" shapeId="15377" r:id="rId8">
          <objectPr defaultSize="0" autoPict="0" r:id="rId9">
            <anchor moveWithCells="1">
              <from>
                <xdr:col>1</xdr:col>
                <xdr:colOff>66675</xdr:colOff>
                <xdr:row>6</xdr:row>
                <xdr:rowOff>19050</xdr:rowOff>
              </from>
              <to>
                <xdr:col>1</xdr:col>
                <xdr:colOff>7867650</xdr:colOff>
                <xdr:row>6</xdr:row>
                <xdr:rowOff>2295525</xdr:rowOff>
              </to>
            </anchor>
          </objectPr>
        </oleObject>
      </mc:Choice>
      <mc:Fallback>
        <oleObject progId="Visio.Drawing.15" shapeId="15377" r:id="rId8"/>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02B2-A916-42E3-A264-A84D048BAA7F}">
  <sheetPr codeName="Sheet10">
    <tabColor theme="9"/>
  </sheetPr>
  <dimension ref="A2:D12"/>
  <sheetViews>
    <sheetView workbookViewId="0"/>
  </sheetViews>
  <sheetFormatPr defaultRowHeight="15" x14ac:dyDescent="0.25"/>
  <cols>
    <col min="1" max="1" width="7.7109375" customWidth="1"/>
    <col min="2" max="2" width="5" customWidth="1"/>
    <col min="3" max="3" width="16" customWidth="1"/>
    <col min="4" max="4" width="65.140625" customWidth="1"/>
  </cols>
  <sheetData>
    <row r="2" spans="1:4" x14ac:dyDescent="0.25">
      <c r="A2" t="s">
        <v>174</v>
      </c>
      <c r="B2" t="str">
        <f>Data!B58</f>
        <v>4w</v>
      </c>
    </row>
    <row r="4" spans="1:4" ht="36" customHeight="1" x14ac:dyDescent="0.25">
      <c r="A4" s="396"/>
      <c r="B4" t="s">
        <v>111</v>
      </c>
    </row>
    <row r="5" spans="1:4" ht="36" customHeight="1" x14ac:dyDescent="0.25">
      <c r="A5" s="396"/>
      <c r="B5" t="s">
        <v>112</v>
      </c>
    </row>
    <row r="6" spans="1:4" ht="36" customHeight="1" x14ac:dyDescent="0.25">
      <c r="A6" s="396"/>
      <c r="B6" t="s">
        <v>113</v>
      </c>
    </row>
    <row r="7" spans="1:4" ht="36" customHeight="1" x14ac:dyDescent="0.25">
      <c r="A7" s="396"/>
      <c r="B7" t="s">
        <v>114</v>
      </c>
    </row>
    <row r="8" spans="1:4" ht="29.25" customHeight="1" x14ac:dyDescent="0.25"/>
    <row r="9" spans="1:4" ht="230.1" customHeight="1" x14ac:dyDescent="0.25">
      <c r="C9" s="412"/>
      <c r="D9" s="380"/>
    </row>
    <row r="10" spans="1:4" ht="230.1" customHeight="1" x14ac:dyDescent="0.25">
      <c r="C10" s="412"/>
      <c r="D10" s="380"/>
    </row>
    <row r="11" spans="1:4" ht="230.1" customHeight="1" x14ac:dyDescent="0.25">
      <c r="C11" s="412"/>
      <c r="D11" s="380"/>
    </row>
    <row r="12" spans="1:4" ht="230.1" customHeight="1" x14ac:dyDescent="0.25">
      <c r="C12" s="412"/>
      <c r="D12" s="381"/>
    </row>
  </sheetData>
  <pageMargins left="0.7" right="0.7" top="0.75" bottom="0.75" header="0.3" footer="0.3"/>
  <drawing r:id="rId1"/>
  <legacyDrawing r:id="rId2"/>
  <oleObjects>
    <mc:AlternateContent xmlns:mc="http://schemas.openxmlformats.org/markup-compatibility/2006">
      <mc:Choice Requires="x14">
        <oleObject progId="Visio.Drawing.15" shapeId="20719" r:id="rId3">
          <objectPr defaultSize="0" r:id="rId4">
            <anchor moveWithCells="1">
              <from>
                <xdr:col>0</xdr:col>
                <xdr:colOff>28575</xdr:colOff>
                <xdr:row>3</xdr:row>
                <xdr:rowOff>28575</xdr:rowOff>
              </from>
              <to>
                <xdr:col>0</xdr:col>
                <xdr:colOff>438150</xdr:colOff>
                <xdr:row>3</xdr:row>
                <xdr:rowOff>438150</xdr:rowOff>
              </to>
            </anchor>
          </objectPr>
        </oleObject>
      </mc:Choice>
      <mc:Fallback>
        <oleObject progId="Visio.Drawing.15" shapeId="20719" r:id="rId3"/>
      </mc:Fallback>
    </mc:AlternateContent>
    <mc:AlternateContent xmlns:mc="http://schemas.openxmlformats.org/markup-compatibility/2006">
      <mc:Choice Requires="x14">
        <oleObject progId="Visio.Drawing.15" shapeId="20723" r:id="rId5">
          <objectPr defaultSize="0" r:id="rId6">
            <anchor moveWithCells="1">
              <from>
                <xdr:col>0</xdr:col>
                <xdr:colOff>9525</xdr:colOff>
                <xdr:row>5</xdr:row>
                <xdr:rowOff>28575</xdr:rowOff>
              </from>
              <to>
                <xdr:col>0</xdr:col>
                <xdr:colOff>485775</xdr:colOff>
                <xdr:row>5</xdr:row>
                <xdr:rowOff>438150</xdr:rowOff>
              </to>
            </anchor>
          </objectPr>
        </oleObject>
      </mc:Choice>
      <mc:Fallback>
        <oleObject progId="Visio.Drawing.15" shapeId="20723" r:id="rId5"/>
      </mc:Fallback>
    </mc:AlternateContent>
    <mc:AlternateContent xmlns:mc="http://schemas.openxmlformats.org/markup-compatibility/2006">
      <mc:Choice Requires="x14">
        <oleObject progId="Visio.Drawing.15" shapeId="20724" r:id="rId7">
          <objectPr defaultSize="0" r:id="rId8">
            <anchor moveWithCells="1">
              <from>
                <xdr:col>0</xdr:col>
                <xdr:colOff>9525</xdr:colOff>
                <xdr:row>6</xdr:row>
                <xdr:rowOff>9525</xdr:rowOff>
              </from>
              <to>
                <xdr:col>0</xdr:col>
                <xdr:colOff>447675</xdr:colOff>
                <xdr:row>6</xdr:row>
                <xdr:rowOff>447675</xdr:rowOff>
              </to>
            </anchor>
          </objectPr>
        </oleObject>
      </mc:Choice>
      <mc:Fallback>
        <oleObject progId="Visio.Drawing.15" shapeId="20724" r:id="rId7"/>
      </mc:Fallback>
    </mc:AlternateContent>
    <mc:AlternateContent xmlns:mc="http://schemas.openxmlformats.org/markup-compatibility/2006">
      <mc:Choice Requires="x14">
        <oleObject progId="Visio.Drawing.15" shapeId="20725" r:id="rId9">
          <objectPr defaultSize="0" r:id="rId10">
            <anchor moveWithCells="1">
              <from>
                <xdr:col>0</xdr:col>
                <xdr:colOff>9525</xdr:colOff>
                <xdr:row>4</xdr:row>
                <xdr:rowOff>19050</xdr:rowOff>
              </from>
              <to>
                <xdr:col>0</xdr:col>
                <xdr:colOff>447675</xdr:colOff>
                <xdr:row>4</xdr:row>
                <xdr:rowOff>438150</xdr:rowOff>
              </to>
            </anchor>
          </objectPr>
        </oleObject>
      </mc:Choice>
      <mc:Fallback>
        <oleObject progId="Visio.Drawing.15" shapeId="20725" r:id="rId9"/>
      </mc:Fallback>
    </mc:AlternateContent>
    <mc:AlternateContent xmlns:mc="http://schemas.openxmlformats.org/markup-compatibility/2006">
      <mc:Choice Requires="x14">
        <oleObject progId="Visio.Drawing.15" shapeId="20766" r:id="rId11">
          <objectPr defaultSize="0" r:id="rId12">
            <anchor moveWithCells="1">
              <from>
                <xdr:col>3</xdr:col>
                <xdr:colOff>0</xdr:colOff>
                <xdr:row>8</xdr:row>
                <xdr:rowOff>0</xdr:rowOff>
              </from>
              <to>
                <xdr:col>4</xdr:col>
                <xdr:colOff>0</xdr:colOff>
                <xdr:row>9</xdr:row>
                <xdr:rowOff>9525</xdr:rowOff>
              </to>
            </anchor>
          </objectPr>
        </oleObject>
      </mc:Choice>
      <mc:Fallback>
        <oleObject progId="Visio.Drawing.15" shapeId="20766" r:id="rId11"/>
      </mc:Fallback>
    </mc:AlternateContent>
    <mc:AlternateContent xmlns:mc="http://schemas.openxmlformats.org/markup-compatibility/2006">
      <mc:Choice Requires="x14">
        <oleObject progId="Visio.Drawing.15" shapeId="20771" r:id="rId13">
          <objectPr defaultSize="0" r:id="rId14">
            <anchor moveWithCells="1">
              <from>
                <xdr:col>3</xdr:col>
                <xdr:colOff>0</xdr:colOff>
                <xdr:row>9</xdr:row>
                <xdr:rowOff>0</xdr:rowOff>
              </from>
              <to>
                <xdr:col>4</xdr:col>
                <xdr:colOff>9525</xdr:colOff>
                <xdr:row>10</xdr:row>
                <xdr:rowOff>0</xdr:rowOff>
              </to>
            </anchor>
          </objectPr>
        </oleObject>
      </mc:Choice>
      <mc:Fallback>
        <oleObject progId="Visio.Drawing.15" shapeId="20771" r:id="rId13"/>
      </mc:Fallback>
    </mc:AlternateContent>
    <mc:AlternateContent xmlns:mc="http://schemas.openxmlformats.org/markup-compatibility/2006">
      <mc:Choice Requires="x14">
        <oleObject progId="Visio.Drawing.15" shapeId="20772" r:id="rId15">
          <objectPr defaultSize="0" r:id="rId16">
            <anchor moveWithCells="1">
              <from>
                <xdr:col>3</xdr:col>
                <xdr:colOff>0</xdr:colOff>
                <xdr:row>10</xdr:row>
                <xdr:rowOff>0</xdr:rowOff>
              </from>
              <to>
                <xdr:col>4</xdr:col>
                <xdr:colOff>19050</xdr:colOff>
                <xdr:row>11</xdr:row>
                <xdr:rowOff>0</xdr:rowOff>
              </to>
            </anchor>
          </objectPr>
        </oleObject>
      </mc:Choice>
      <mc:Fallback>
        <oleObject progId="Visio.Drawing.15" shapeId="20772" r:id="rId15"/>
      </mc:Fallback>
    </mc:AlternateContent>
    <mc:AlternateContent xmlns:mc="http://schemas.openxmlformats.org/markup-compatibility/2006">
      <mc:Choice Requires="x14">
        <oleObject progId="Visio.Drawing.15" shapeId="20773" r:id="rId17">
          <objectPr defaultSize="0" r:id="rId18">
            <anchor moveWithCells="1">
              <from>
                <xdr:col>3</xdr:col>
                <xdr:colOff>0</xdr:colOff>
                <xdr:row>11</xdr:row>
                <xdr:rowOff>0</xdr:rowOff>
              </from>
              <to>
                <xdr:col>4</xdr:col>
                <xdr:colOff>9525</xdr:colOff>
                <xdr:row>12</xdr:row>
                <xdr:rowOff>0</xdr:rowOff>
              </to>
            </anchor>
          </objectPr>
        </oleObject>
      </mc:Choice>
      <mc:Fallback>
        <oleObject progId="Visio.Drawing.15" shapeId="20773" r:id="rId17"/>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9"/>
  </sheetPr>
  <dimension ref="A1:EN674"/>
  <sheetViews>
    <sheetView topLeftCell="S352" zoomScale="95" workbookViewId="0">
      <selection activeCell="AH461" sqref="AH461"/>
    </sheetView>
  </sheetViews>
  <sheetFormatPr defaultRowHeight="15" x14ac:dyDescent="0.25"/>
  <cols>
    <col min="1" max="1" width="16.42578125" customWidth="1"/>
    <col min="2" max="2" width="26" customWidth="1"/>
    <col min="3" max="3" width="15.85546875" customWidth="1"/>
    <col min="4" max="4" width="12.7109375" customWidth="1"/>
    <col min="5" max="5" width="11.28515625" customWidth="1"/>
    <col min="6" max="6" width="10" customWidth="1"/>
    <col min="7" max="7" width="12.28515625" customWidth="1"/>
    <col min="8" max="8" width="15.28515625" customWidth="1"/>
    <col min="9" max="9" width="13" customWidth="1"/>
    <col min="10" max="10" width="11.5703125" customWidth="1"/>
    <col min="11" max="11" width="9" bestFit="1" customWidth="1"/>
    <col min="12" max="12" width="14.28515625" customWidth="1"/>
    <col min="13" max="13" width="13" customWidth="1"/>
    <col min="14" max="14" width="15.85546875" bestFit="1" customWidth="1"/>
    <col min="15" max="15" width="12.5703125" customWidth="1"/>
    <col min="16" max="16" width="23.7109375" bestFit="1" customWidth="1"/>
    <col min="17" max="18" width="11.7109375" bestFit="1" customWidth="1"/>
    <col min="19" max="19" width="12.5703125" customWidth="1"/>
    <col min="20" max="21" width="11.7109375" bestFit="1" customWidth="1"/>
    <col min="22" max="22" width="15.85546875" bestFit="1" customWidth="1"/>
    <col min="23" max="23" width="17.140625" customWidth="1"/>
    <col min="24" max="24" width="9" bestFit="1" customWidth="1"/>
    <col min="25" max="25" width="9.7109375" customWidth="1"/>
    <col min="26" max="26" width="9.28515625" bestFit="1" customWidth="1"/>
    <col min="27" max="27" width="9.5703125" bestFit="1" customWidth="1"/>
    <col min="28" max="28" width="13.28515625" customWidth="1"/>
    <col min="29" max="29" width="10.5703125" customWidth="1"/>
    <col min="30" max="30" width="20.7109375" customWidth="1"/>
    <col min="31" max="31" width="12.85546875" bestFit="1" customWidth="1"/>
    <col min="32" max="33" width="9" bestFit="1" customWidth="1"/>
    <col min="34" max="34" width="12.7109375" customWidth="1"/>
    <col min="35" max="36" width="9" bestFit="1" customWidth="1"/>
    <col min="37" max="37" width="17.5703125" customWidth="1"/>
    <col min="38" max="38" width="9" bestFit="1" customWidth="1"/>
    <col min="44" max="44" width="19.42578125" customWidth="1"/>
    <col min="45" max="45" width="9" bestFit="1" customWidth="1"/>
    <col min="51" max="51" width="11.85546875" customWidth="1"/>
    <col min="58" max="58" width="20.5703125" customWidth="1"/>
    <col min="65" max="65" width="16.28515625" customWidth="1"/>
    <col min="72" max="72" width="18.7109375" customWidth="1"/>
    <col min="86" max="86" width="18.5703125" customWidth="1"/>
    <col min="100" max="100" width="15.28515625" customWidth="1"/>
    <col min="114" max="114" width="13.28515625" customWidth="1"/>
    <col min="128" max="128" width="13.28515625" customWidth="1"/>
    <col min="142" max="142" width="18" customWidth="1"/>
    <col min="156" max="156" width="17.5703125" customWidth="1"/>
    <col min="170" max="170" width="17.5703125" customWidth="1"/>
    <col min="184" max="184" width="17" customWidth="1"/>
  </cols>
  <sheetData>
    <row r="1" spans="2:12" ht="20.25" thickBot="1" x14ac:dyDescent="0.35">
      <c r="B1" s="2" t="s">
        <v>148</v>
      </c>
    </row>
    <row r="2" spans="2:12" ht="15.75" thickTop="1" x14ac:dyDescent="0.25"/>
    <row r="3" spans="2:12" x14ac:dyDescent="0.25">
      <c r="B3" t="s">
        <v>149</v>
      </c>
      <c r="C3">
        <v>1</v>
      </c>
      <c r="D3" t="str">
        <f>IF(C3=1,"[L/s]","[m³/h]")</f>
        <v>[L/s]</v>
      </c>
      <c r="E3" t="str">
        <f>IF(C3=1,"L/s","m³/h")</f>
        <v>L/s</v>
      </c>
    </row>
    <row r="4" spans="2:12" x14ac:dyDescent="0.25">
      <c r="B4" t="s">
        <v>150</v>
      </c>
      <c r="C4">
        <f>IF(C3=1,1,3.6)</f>
        <v>1</v>
      </c>
      <c r="D4" t="str">
        <f>IF(C3=1,"L/s/m²","m³/h/m²")</f>
        <v>L/s/m²</v>
      </c>
    </row>
    <row r="6" spans="2:12" x14ac:dyDescent="0.25">
      <c r="B6" t="s">
        <v>51</v>
      </c>
      <c r="C6">
        <f>250*C4</f>
        <v>250</v>
      </c>
    </row>
    <row r="7" spans="2:12" x14ac:dyDescent="0.25">
      <c r="B7" t="s">
        <v>5</v>
      </c>
      <c r="C7">
        <f>'HSC-VS'!E10/C4</f>
        <v>100</v>
      </c>
    </row>
    <row r="9" spans="2:12" x14ac:dyDescent="0.25">
      <c r="B9" t="s">
        <v>286</v>
      </c>
      <c r="C9" t="str">
        <f>"= " &amp;IF(C3=1,'HSC-VS'!E10*3.6,ROUND('HSC-VS'!E10/3.6,1))</f>
        <v>= 360</v>
      </c>
      <c r="D9" t="str">
        <f>IF(C3=1,"m³/h","L/s")</f>
        <v>m³/h</v>
      </c>
    </row>
    <row r="11" spans="2:12" ht="20.25" thickBot="1" x14ac:dyDescent="0.35">
      <c r="B11" s="2" t="s">
        <v>13</v>
      </c>
    </row>
    <row r="12" spans="2:12" ht="15.75" thickTop="1" x14ac:dyDescent="0.25"/>
    <row r="13" spans="2:12" x14ac:dyDescent="0.25">
      <c r="B13" t="s">
        <v>0</v>
      </c>
      <c r="C13" s="6"/>
      <c r="E13" t="s">
        <v>15</v>
      </c>
      <c r="L13" t="s">
        <v>51</v>
      </c>
    </row>
    <row r="14" spans="2:12" x14ac:dyDescent="0.25">
      <c r="B14" t="s">
        <v>299</v>
      </c>
      <c r="C14" s="6">
        <f>C7</f>
        <v>100</v>
      </c>
      <c r="E14" t="s">
        <v>6</v>
      </c>
      <c r="L14" t="s">
        <v>52</v>
      </c>
    </row>
    <row r="15" spans="2:12" x14ac:dyDescent="0.25">
      <c r="B15" t="s">
        <v>7</v>
      </c>
      <c r="C15" s="6">
        <f>'HSC-VS'!E12</f>
        <v>0.3</v>
      </c>
      <c r="E15" t="s">
        <v>14</v>
      </c>
      <c r="L15" t="s">
        <v>47</v>
      </c>
    </row>
    <row r="16" spans="2:12" x14ac:dyDescent="0.25">
      <c r="B16" t="s">
        <v>1021</v>
      </c>
      <c r="C16">
        <f>'HSC-VS'!E14</f>
        <v>40</v>
      </c>
      <c r="L16" t="s">
        <v>49</v>
      </c>
    </row>
    <row r="17" spans="2:12" x14ac:dyDescent="0.25">
      <c r="B17" t="s">
        <v>857</v>
      </c>
      <c r="C17" s="6" t="b">
        <v>0</v>
      </c>
    </row>
    <row r="18" spans="2:12" x14ac:dyDescent="0.25">
      <c r="B18" t="s">
        <v>16</v>
      </c>
      <c r="C18" s="6">
        <f>'HSC-VS'!E19</f>
        <v>-12</v>
      </c>
      <c r="E18" t="s">
        <v>10</v>
      </c>
      <c r="L18" t="s">
        <v>65</v>
      </c>
    </row>
    <row r="19" spans="2:12" x14ac:dyDescent="0.25">
      <c r="B19" t="s">
        <v>624</v>
      </c>
      <c r="C19" s="11">
        <f>'HSC-VS'!E23</f>
        <v>0.6</v>
      </c>
    </row>
    <row r="20" spans="2:12" x14ac:dyDescent="0.25">
      <c r="B20" t="s">
        <v>11</v>
      </c>
      <c r="C20" s="6">
        <f>'HSC-VS'!E21</f>
        <v>2.7</v>
      </c>
      <c r="E20" t="s">
        <v>12</v>
      </c>
      <c r="L20" t="s">
        <v>48</v>
      </c>
    </row>
    <row r="21" spans="2:12" x14ac:dyDescent="0.25">
      <c r="B21" t="s">
        <v>23</v>
      </c>
      <c r="C21" s="6" t="str">
        <f>'HSC-VS'!M9</f>
        <v>4 Way (360°)</v>
      </c>
      <c r="D21" t="str">
        <f>Data!B58</f>
        <v>4w</v>
      </c>
      <c r="L21" t="s">
        <v>46</v>
      </c>
    </row>
    <row r="22" spans="2:12" x14ac:dyDescent="0.25">
      <c r="B22" t="s">
        <v>18</v>
      </c>
      <c r="C22" s="6">
        <f>'HSC-VS'!M19/C4</f>
        <v>2.6</v>
      </c>
      <c r="E22" t="s">
        <v>40</v>
      </c>
    </row>
    <row r="23" spans="2:12" x14ac:dyDescent="0.25">
      <c r="B23" t="s">
        <v>19</v>
      </c>
      <c r="C23" s="11">
        <f>'HSC-VS'!M11</f>
        <v>0.9</v>
      </c>
      <c r="L23" t="s">
        <v>41</v>
      </c>
    </row>
    <row r="24" spans="2:12" x14ac:dyDescent="0.25">
      <c r="B24" t="s">
        <v>144</v>
      </c>
      <c r="C24" s="11" t="b">
        <v>0</v>
      </c>
      <c r="L24" t="s">
        <v>42</v>
      </c>
    </row>
    <row r="25" spans="2:12" x14ac:dyDescent="0.25">
      <c r="B25" t="s">
        <v>76</v>
      </c>
      <c r="C25" s="6">
        <f>'HSC-VS'!M25</f>
        <v>0</v>
      </c>
      <c r="L25" t="s">
        <v>50</v>
      </c>
    </row>
    <row r="26" spans="2:12" x14ac:dyDescent="0.25">
      <c r="B26" t="s">
        <v>77</v>
      </c>
      <c r="C26" s="47">
        <v>1</v>
      </c>
    </row>
    <row r="27" spans="2:12" x14ac:dyDescent="0.25">
      <c r="B27" t="s">
        <v>95</v>
      </c>
      <c r="C27">
        <f>'HSC-VS'!M21</f>
        <v>23</v>
      </c>
      <c r="E27" t="s">
        <v>96</v>
      </c>
    </row>
    <row r="28" spans="2:12" x14ac:dyDescent="0.25">
      <c r="B28" t="s">
        <v>129</v>
      </c>
      <c r="C28">
        <v>1</v>
      </c>
    </row>
    <row r="29" spans="2:12" x14ac:dyDescent="0.25">
      <c r="B29" t="s">
        <v>122</v>
      </c>
      <c r="C29">
        <f>'HSC-VS'!M17</f>
        <v>6</v>
      </c>
      <c r="E29" t="s">
        <v>12</v>
      </c>
      <c r="L29" t="s">
        <v>43</v>
      </c>
    </row>
    <row r="30" spans="2:12" x14ac:dyDescent="0.25">
      <c r="C30" s="6"/>
      <c r="L30" t="s">
        <v>44</v>
      </c>
    </row>
    <row r="31" spans="2:12" ht="20.25" customHeight="1" thickBot="1" x14ac:dyDescent="0.35">
      <c r="B31" s="2" t="s">
        <v>300</v>
      </c>
      <c r="C31" s="6"/>
      <c r="L31" t="s">
        <v>45</v>
      </c>
    </row>
    <row r="32" spans="2:12" ht="15.75" thickTop="1" x14ac:dyDescent="0.25"/>
    <row r="33" spans="2:5" x14ac:dyDescent="0.25">
      <c r="B33" t="s">
        <v>0</v>
      </c>
      <c r="C33" s="7">
        <v>355</v>
      </c>
    </row>
    <row r="34" spans="2:5" x14ac:dyDescent="0.25">
      <c r="B34" t="s">
        <v>7</v>
      </c>
      <c r="C34" s="6">
        <f>C15</f>
        <v>0.3</v>
      </c>
    </row>
    <row r="35" spans="2:5" x14ac:dyDescent="0.25">
      <c r="B35" t="s">
        <v>235</v>
      </c>
      <c r="C35" s="6">
        <f>C16</f>
        <v>40</v>
      </c>
      <c r="E35" t="s">
        <v>8</v>
      </c>
    </row>
    <row r="36" spans="2:5" x14ac:dyDescent="0.25">
      <c r="B36" t="s">
        <v>1023</v>
      </c>
      <c r="C36" s="6">
        <f>C16+10</f>
        <v>50</v>
      </c>
      <c r="D36" t="str">
        <f>IF(AND(C17,C16&gt;30)," ("&amp;C36&amp;"¹)","")</f>
        <v/>
      </c>
      <c r="E36" t="s">
        <v>8</v>
      </c>
    </row>
    <row r="37" spans="2:5" x14ac:dyDescent="0.25">
      <c r="B37" t="s">
        <v>431</v>
      </c>
      <c r="C37" s="6">
        <f>C14*C34*C4</f>
        <v>30</v>
      </c>
    </row>
    <row r="38" spans="2:5" x14ac:dyDescent="0.25">
      <c r="B38" t="s">
        <v>265</v>
      </c>
      <c r="C38" s="6">
        <f>IF(ABS(C18)&lt;8,8,ABS(C18))</f>
        <v>12</v>
      </c>
      <c r="D38" t="s">
        <v>266</v>
      </c>
    </row>
    <row r="39" spans="2:5" x14ac:dyDescent="0.25">
      <c r="B39" t="s">
        <v>11</v>
      </c>
      <c r="C39" s="6">
        <f>C20</f>
        <v>2.7</v>
      </c>
    </row>
    <row r="40" spans="2:5" x14ac:dyDescent="0.25">
      <c r="B40" t="s">
        <v>23</v>
      </c>
      <c r="C40" s="6">
        <f>_xlfn.NUMBERVALUE(LEFT(C21,1))</f>
        <v>4</v>
      </c>
    </row>
    <row r="41" spans="2:5" x14ac:dyDescent="0.25">
      <c r="B41" t="s">
        <v>143</v>
      </c>
      <c r="C41">
        <f ca="1">IF(C28=3,IF(C22&gt;10,10,IF(C22&lt;2,2,C22)),$C$404)</f>
        <v>2.9</v>
      </c>
    </row>
    <row r="42" spans="2:5" x14ac:dyDescent="0.25">
      <c r="B42" t="s">
        <v>19</v>
      </c>
      <c r="C42" s="9">
        <f>C23*100</f>
        <v>90</v>
      </c>
    </row>
    <row r="43" spans="2:5" x14ac:dyDescent="0.25">
      <c r="B43" t="s">
        <v>98</v>
      </c>
      <c r="C43" s="10">
        <f>VLOOKUP(C23,Data!$A$38:$B$42,2,0)</f>
        <v>0.25</v>
      </c>
    </row>
    <row r="45" spans="2:5" x14ac:dyDescent="0.25">
      <c r="B45" t="s">
        <v>25</v>
      </c>
      <c r="C45">
        <f>$C$14*$C$34</f>
        <v>30</v>
      </c>
      <c r="E45" t="s">
        <v>26</v>
      </c>
    </row>
    <row r="46" spans="2:5" x14ac:dyDescent="0.25">
      <c r="B46" t="s">
        <v>78</v>
      </c>
      <c r="C46">
        <f>1+C25</f>
        <v>1</v>
      </c>
    </row>
    <row r="47" spans="2:5" x14ac:dyDescent="0.25">
      <c r="B47" t="s">
        <v>83</v>
      </c>
      <c r="C47" s="11" t="b">
        <f>IF(C26=2,TRUE,FALSE)</f>
        <v>0</v>
      </c>
    </row>
    <row r="48" spans="2:5" x14ac:dyDescent="0.25">
      <c r="B48" t="s">
        <v>81</v>
      </c>
      <c r="C48">
        <f>IF(C47,0.5, 1)</f>
        <v>1</v>
      </c>
    </row>
    <row r="49" spans="2:6" x14ac:dyDescent="0.25">
      <c r="B49" t="s">
        <v>80</v>
      </c>
      <c r="C49">
        <f>IF($C$47,1.1, 1)</f>
        <v>1</v>
      </c>
    </row>
    <row r="50" spans="2:6" x14ac:dyDescent="0.25">
      <c r="B50" t="s">
        <v>192</v>
      </c>
      <c r="C50">
        <f>IF($C$47,0.85, 1)</f>
        <v>1</v>
      </c>
    </row>
    <row r="51" spans="2:6" x14ac:dyDescent="0.25">
      <c r="B51" t="s">
        <v>193</v>
      </c>
      <c r="C51">
        <f>IF($C$47,0.8, 1)</f>
        <v>1</v>
      </c>
    </row>
    <row r="52" spans="2:6" x14ac:dyDescent="0.25">
      <c r="B52" t="s">
        <v>291</v>
      </c>
      <c r="C52">
        <f>IF(Data!B58="2a",0.5,1)</f>
        <v>1</v>
      </c>
    </row>
    <row r="54" spans="2:6" x14ac:dyDescent="0.25">
      <c r="B54" t="s">
        <v>583</v>
      </c>
      <c r="C54">
        <f>C14*SQRT(30/C35)</f>
        <v>86.602540378443862</v>
      </c>
      <c r="D54" t="s">
        <v>584</v>
      </c>
    </row>
    <row r="56" spans="2:6" x14ac:dyDescent="0.25">
      <c r="B56" s="1" t="s">
        <v>213</v>
      </c>
      <c r="C56" s="10"/>
    </row>
    <row r="57" spans="2:6" x14ac:dyDescent="0.25">
      <c r="E57" t="s">
        <v>202</v>
      </c>
    </row>
    <row r="58" spans="2:6" x14ac:dyDescent="0.25">
      <c r="B58" t="s">
        <v>203</v>
      </c>
      <c r="C58" t="s">
        <v>204</v>
      </c>
      <c r="D58" t="s">
        <v>169</v>
      </c>
      <c r="E58" t="s">
        <v>118</v>
      </c>
    </row>
    <row r="59" spans="2:6" x14ac:dyDescent="0.25">
      <c r="B59">
        <v>2.7</v>
      </c>
      <c r="C59">
        <v>4510</v>
      </c>
      <c r="D59">
        <v>2.2692999999999999</v>
      </c>
      <c r="E59">
        <f>C59*$C$43^D59</f>
        <v>194.05364448580664</v>
      </c>
    </row>
    <row r="60" spans="2:6" x14ac:dyDescent="0.25">
      <c r="B60">
        <v>4</v>
      </c>
      <c r="C60">
        <v>3884</v>
      </c>
      <c r="D60">
        <v>2.2425999999999999</v>
      </c>
      <c r="E60">
        <f>C60*$C$43^D60</f>
        <v>173.42012091102143</v>
      </c>
    </row>
    <row r="61" spans="2:6" x14ac:dyDescent="0.25">
      <c r="B61">
        <v>10.0001</v>
      </c>
      <c r="C61">
        <v>3435</v>
      </c>
      <c r="D61">
        <v>2.2753999999999999</v>
      </c>
      <c r="E61">
        <f>C61*$C$43^D61</f>
        <v>146.55459415179587</v>
      </c>
    </row>
    <row r="62" spans="2:6" x14ac:dyDescent="0.25">
      <c r="C62" t="s">
        <v>168</v>
      </c>
      <c r="D62" t="s">
        <v>169</v>
      </c>
    </row>
    <row r="63" spans="2:6" x14ac:dyDescent="0.25">
      <c r="B63">
        <f>C39</f>
        <v>2.7</v>
      </c>
      <c r="C63">
        <f>EXP(INDEX(LINEST(LN(E59:E61),LN(B59:B61),,),1,2))</f>
        <v>235.85800421193721</v>
      </c>
      <c r="D63">
        <f>INDEX(LINEST(LN(E59:E61),LN(B59:B61),,),1)</f>
        <v>-0.20897278485293347</v>
      </c>
      <c r="E63" s="1">
        <f>C63*B63^D63</f>
        <v>191.64934187208348</v>
      </c>
      <c r="F63" t="s">
        <v>119</v>
      </c>
    </row>
    <row r="64" spans="2:6" x14ac:dyDescent="0.25">
      <c r="C64" s="1" t="s">
        <v>207</v>
      </c>
      <c r="E64" s="1"/>
    </row>
    <row r="65" spans="2:5" x14ac:dyDescent="0.25">
      <c r="B65" t="s">
        <v>205</v>
      </c>
      <c r="C65" s="1">
        <f>$E$63/$C$38</f>
        <v>15.97077848934029</v>
      </c>
      <c r="E65" s="1"/>
    </row>
    <row r="66" spans="2:5" x14ac:dyDescent="0.25">
      <c r="B66" t="s">
        <v>206</v>
      </c>
      <c r="C66" s="1">
        <f>C65+C67</f>
        <v>19.97077848934029</v>
      </c>
      <c r="E66" s="1"/>
    </row>
    <row r="67" spans="2:5" x14ac:dyDescent="0.25">
      <c r="B67" t="s">
        <v>221</v>
      </c>
      <c r="C67" s="1">
        <v>4</v>
      </c>
      <c r="E67" s="1"/>
    </row>
    <row r="68" spans="2:5" x14ac:dyDescent="0.25">
      <c r="E68" s="1"/>
    </row>
    <row r="69" spans="2:5" x14ac:dyDescent="0.25">
      <c r="B69" s="199" t="s">
        <v>337</v>
      </c>
      <c r="E69" s="1"/>
    </row>
    <row r="70" spans="2:5" x14ac:dyDescent="0.25">
      <c r="B70" s="1"/>
      <c r="E70" s="1"/>
    </row>
    <row r="71" spans="2:5" x14ac:dyDescent="0.25">
      <c r="B71" s="200" t="s">
        <v>338</v>
      </c>
      <c r="C71" s="201"/>
      <c r="E71" s="1"/>
    </row>
    <row r="72" spans="2:5" x14ac:dyDescent="0.25">
      <c r="B72" s="200" t="s">
        <v>339</v>
      </c>
      <c r="C72" s="200" t="s">
        <v>29</v>
      </c>
      <c r="E72" s="1"/>
    </row>
    <row r="73" spans="2:5" x14ac:dyDescent="0.25">
      <c r="B73" s="202">
        <v>1</v>
      </c>
      <c r="C73" s="201">
        <v>1</v>
      </c>
      <c r="E73" s="1"/>
    </row>
    <row r="74" spans="2:5" x14ac:dyDescent="0.25">
      <c r="B74" s="202">
        <v>0.3</v>
      </c>
      <c r="C74" s="201">
        <v>0.53500000000000003</v>
      </c>
      <c r="E74" s="1"/>
    </row>
    <row r="75" spans="2:5" x14ac:dyDescent="0.25">
      <c r="B75" s="203" t="s">
        <v>340</v>
      </c>
      <c r="C75" s="201">
        <v>0.53500000000000003</v>
      </c>
      <c r="E75" s="1"/>
    </row>
    <row r="76" spans="2:5" x14ac:dyDescent="0.25">
      <c r="B76" s="200" t="s">
        <v>29</v>
      </c>
      <c r="C76" s="201">
        <f>MAX(TREND(C73:C74,B73:B74,C34,1),C75)</f>
        <v>0.53500000000000003</v>
      </c>
      <c r="D76" s="1" t="s">
        <v>338</v>
      </c>
      <c r="E76" s="1"/>
    </row>
    <row r="77" spans="2:5" x14ac:dyDescent="0.25">
      <c r="B77" s="1"/>
      <c r="D77" s="1"/>
      <c r="E77" s="1"/>
    </row>
    <row r="78" spans="2:5" x14ac:dyDescent="0.25">
      <c r="B78" s="200" t="s">
        <v>341</v>
      </c>
      <c r="C78" s="201"/>
      <c r="E78" s="1"/>
    </row>
    <row r="79" spans="2:5" x14ac:dyDescent="0.25">
      <c r="B79" s="200" t="s">
        <v>342</v>
      </c>
      <c r="C79" s="200" t="s">
        <v>29</v>
      </c>
      <c r="E79" s="1"/>
    </row>
    <row r="80" spans="2:5" x14ac:dyDescent="0.25">
      <c r="B80" s="204">
        <v>30</v>
      </c>
      <c r="C80" s="201">
        <v>0.75</v>
      </c>
      <c r="E80" s="1"/>
    </row>
    <row r="81" spans="2:13" x14ac:dyDescent="0.25">
      <c r="B81" s="204">
        <v>5</v>
      </c>
      <c r="C81" s="201">
        <v>1</v>
      </c>
      <c r="E81" s="1"/>
    </row>
    <row r="82" spans="2:13" x14ac:dyDescent="0.25">
      <c r="E82" s="1"/>
    </row>
    <row r="83" spans="2:13" x14ac:dyDescent="0.25">
      <c r="B83" s="1" t="s">
        <v>344</v>
      </c>
      <c r="E83" s="1"/>
    </row>
    <row r="84" spans="2:13" x14ac:dyDescent="0.25">
      <c r="B84" s="201" t="s">
        <v>347</v>
      </c>
      <c r="C84" s="201" t="s">
        <v>346</v>
      </c>
      <c r="E84" s="1"/>
    </row>
    <row r="85" spans="2:13" x14ac:dyDescent="0.25">
      <c r="B85" s="201" t="s">
        <v>199</v>
      </c>
      <c r="C85" s="201" t="s">
        <v>351</v>
      </c>
      <c r="E85" s="1"/>
    </row>
    <row r="86" spans="2:13" x14ac:dyDescent="0.25">
      <c r="B86" s="205">
        <v>0.95</v>
      </c>
      <c r="C86" s="201">
        <f>9.17*(B86-0.05)^2-11.971*(B86-0.05)+4.3583</f>
        <v>1.0120999999999984</v>
      </c>
      <c r="E86" s="1"/>
      <c r="J86">
        <v>0.95</v>
      </c>
      <c r="K86">
        <v>0.9</v>
      </c>
      <c r="L86">
        <v>0.8</v>
      </c>
      <c r="M86">
        <v>0.7</v>
      </c>
    </row>
    <row r="87" spans="2:13" x14ac:dyDescent="0.25">
      <c r="B87" s="205">
        <v>0.9</v>
      </c>
      <c r="C87" s="201">
        <f t="shared" ref="C87:C90" si="0">9.17*(B87-0.05)^2-11.971*(B87-0.05)+4.3583</f>
        <v>0.80827499999999919</v>
      </c>
      <c r="E87" s="1"/>
      <c r="J87">
        <v>1.27</v>
      </c>
      <c r="K87">
        <v>1</v>
      </c>
      <c r="L87">
        <v>0.7</v>
      </c>
      <c r="M87">
        <v>0.5</v>
      </c>
    </row>
    <row r="88" spans="2:13" x14ac:dyDescent="0.25">
      <c r="B88" s="205">
        <v>0.85</v>
      </c>
      <c r="C88" s="201">
        <f t="shared" si="0"/>
        <v>0.65030000000000054</v>
      </c>
      <c r="E88" s="1"/>
      <c r="J88">
        <f t="shared" ref="J88:L88" si="1">8.151*J86^2-10.442*J86+3.82</f>
        <v>1.2563774999999988</v>
      </c>
      <c r="K88">
        <f t="shared" si="1"/>
        <v>1.0245099999999998</v>
      </c>
      <c r="L88">
        <f t="shared" si="1"/>
        <v>0.68304000000000054</v>
      </c>
      <c r="M88">
        <f>8.151*M86^2-10.442*M86+3.82</f>
        <v>0.50458999999999987</v>
      </c>
    </row>
    <row r="89" spans="2:13" x14ac:dyDescent="0.25">
      <c r="B89" s="205">
        <v>0.8</v>
      </c>
      <c r="C89" s="201">
        <f t="shared" si="0"/>
        <v>0.53817500000000074</v>
      </c>
      <c r="E89" s="1"/>
    </row>
    <row r="90" spans="2:13" x14ac:dyDescent="0.25">
      <c r="B90" s="205">
        <v>0.7</v>
      </c>
      <c r="C90" s="201">
        <f t="shared" si="0"/>
        <v>0.4514749999999994</v>
      </c>
      <c r="E90" s="1"/>
    </row>
    <row r="91" spans="2:13" x14ac:dyDescent="0.25">
      <c r="B91" s="206" t="s">
        <v>348</v>
      </c>
      <c r="C91" s="201">
        <f>VLOOKUP($C$23,B86:C90,2,0)</f>
        <v>0.80827499999999919</v>
      </c>
      <c r="E91" s="1"/>
    </row>
    <row r="92" spans="2:13" x14ac:dyDescent="0.25">
      <c r="B92" s="6"/>
      <c r="E92" s="1"/>
    </row>
    <row r="93" spans="2:13" x14ac:dyDescent="0.25">
      <c r="B93" s="6"/>
      <c r="E93" s="1"/>
    </row>
    <row r="94" spans="2:13" x14ac:dyDescent="0.25">
      <c r="B94" s="201" t="s">
        <v>345</v>
      </c>
      <c r="C94" s="201" t="s">
        <v>346</v>
      </c>
      <c r="E94" s="1"/>
    </row>
    <row r="95" spans="2:13" x14ac:dyDescent="0.25">
      <c r="B95" s="201" t="s">
        <v>199</v>
      </c>
      <c r="C95" s="201" t="s">
        <v>351</v>
      </c>
      <c r="E95" s="1"/>
    </row>
    <row r="96" spans="2:13" x14ac:dyDescent="0.25">
      <c r="B96" s="205">
        <v>0.95</v>
      </c>
      <c r="C96" s="201">
        <v>1.27</v>
      </c>
      <c r="E96" s="1"/>
    </row>
    <row r="97" spans="2:15" x14ac:dyDescent="0.25">
      <c r="B97" s="205">
        <v>0.9</v>
      </c>
      <c r="C97" s="201">
        <v>1</v>
      </c>
      <c r="E97" s="1"/>
    </row>
    <row r="98" spans="2:15" x14ac:dyDescent="0.25">
      <c r="B98" s="205">
        <v>0.85</v>
      </c>
      <c r="C98" s="201">
        <v>0.80827499999999919</v>
      </c>
      <c r="E98" s="1"/>
    </row>
    <row r="99" spans="2:15" x14ac:dyDescent="0.25">
      <c r="B99" s="205">
        <v>0.8</v>
      </c>
      <c r="C99" s="201">
        <v>0.66</v>
      </c>
      <c r="E99" s="1"/>
    </row>
    <row r="100" spans="2:15" x14ac:dyDescent="0.25">
      <c r="B100" s="205">
        <v>0.7</v>
      </c>
      <c r="C100" s="201">
        <v>0.47</v>
      </c>
      <c r="E100" s="1"/>
      <c r="I100">
        <v>0.95</v>
      </c>
      <c r="J100">
        <v>0.9</v>
      </c>
      <c r="K100">
        <v>0.85</v>
      </c>
      <c r="L100">
        <v>0.8</v>
      </c>
      <c r="M100">
        <v>0.75</v>
      </c>
      <c r="N100">
        <v>0.7</v>
      </c>
      <c r="O100">
        <v>0.65</v>
      </c>
    </row>
    <row r="101" spans="2:15" x14ac:dyDescent="0.25">
      <c r="B101" s="206" t="s">
        <v>348</v>
      </c>
      <c r="C101" s="201">
        <f>VLOOKUP($C$23,B96:C100,2,0)</f>
        <v>1</v>
      </c>
      <c r="E101" s="1"/>
      <c r="M101">
        <v>0.7</v>
      </c>
      <c r="O101">
        <v>0.5</v>
      </c>
    </row>
    <row r="102" spans="2:15" x14ac:dyDescent="0.25">
      <c r="E102" s="1"/>
    </row>
    <row r="103" spans="2:15" x14ac:dyDescent="0.25">
      <c r="B103" s="1" t="s">
        <v>402</v>
      </c>
      <c r="E103" s="1"/>
    </row>
    <row r="104" spans="2:15" x14ac:dyDescent="0.25">
      <c r="B104" t="s">
        <v>199</v>
      </c>
      <c r="C104" t="s">
        <v>200</v>
      </c>
      <c r="D104" t="s">
        <v>201</v>
      </c>
      <c r="F104" t="s">
        <v>210</v>
      </c>
      <c r="G104" t="s">
        <v>211</v>
      </c>
    </row>
    <row r="105" spans="2:15" x14ac:dyDescent="0.25">
      <c r="B105" s="12">
        <v>0.95</v>
      </c>
      <c r="C105">
        <v>0.95499999999999996</v>
      </c>
      <c r="D105">
        <v>1.27</v>
      </c>
      <c r="F105">
        <v>5.3170379048810661</v>
      </c>
      <c r="G105">
        <v>4.4308649207342219</v>
      </c>
    </row>
    <row r="106" spans="2:15" x14ac:dyDescent="0.25">
      <c r="B106" s="12">
        <v>0.9</v>
      </c>
      <c r="C106">
        <v>0.75</v>
      </c>
      <c r="D106">
        <v>1</v>
      </c>
      <c r="F106">
        <v>6</v>
      </c>
      <c r="G106">
        <v>5</v>
      </c>
    </row>
    <row r="107" spans="2:15" x14ac:dyDescent="0.25">
      <c r="B107" s="12">
        <v>0.85</v>
      </c>
      <c r="C107">
        <f>6.623*0.85^2-8.55*0.85+3.09</f>
        <v>0.60761749999999903</v>
      </c>
      <c r="D107">
        <f>9.17*0.85^2-11.971*0.85+4.3583</f>
        <v>0.80827499999999919</v>
      </c>
      <c r="F107">
        <f>-13.659*0.85+18.293</f>
        <v>6.6828499999999984</v>
      </c>
      <c r="G107">
        <f>-11.383*0.85+15.244</f>
        <v>5.5684500000000003</v>
      </c>
    </row>
    <row r="108" spans="2:15" x14ac:dyDescent="0.25">
      <c r="B108" s="12">
        <v>0.8</v>
      </c>
      <c r="C108">
        <v>0.5</v>
      </c>
      <c r="D108">
        <v>0.66</v>
      </c>
      <c r="F108">
        <v>7.3659241902378696</v>
      </c>
      <c r="G108">
        <v>6.138270158531558</v>
      </c>
    </row>
    <row r="109" spans="2:15" x14ac:dyDescent="0.25">
      <c r="B109" s="140">
        <v>0.7</v>
      </c>
      <c r="C109" s="141">
        <v>0.35</v>
      </c>
      <c r="D109" s="141">
        <v>0.47</v>
      </c>
      <c r="E109" s="141"/>
      <c r="F109" s="141">
        <v>8.7318483804757356</v>
      </c>
      <c r="G109" s="141">
        <v>7.2765403170631142</v>
      </c>
    </row>
    <row r="110" spans="2:15" x14ac:dyDescent="0.25">
      <c r="B110" t="s">
        <v>205</v>
      </c>
      <c r="C110" s="1">
        <f>VLOOKUP($C$23,$B$105:$D$109,2,0)</f>
        <v>0.75</v>
      </c>
      <c r="E110" t="s">
        <v>208</v>
      </c>
      <c r="F110" s="1">
        <f>VLOOKUP($C$23,$B$105:$G$109,5,0)</f>
        <v>6</v>
      </c>
      <c r="G110" t="s">
        <v>216</v>
      </c>
    </row>
    <row r="111" spans="2:15" x14ac:dyDescent="0.25">
      <c r="B111" t="s">
        <v>206</v>
      </c>
      <c r="C111" s="1">
        <f>VLOOKUP($C$23,$B$105:$D$109,3,0)</f>
        <v>1</v>
      </c>
      <c r="F111" s="1">
        <f>VLOOKUP($C$23,$B$105:$G$109,6,0)</f>
        <v>5</v>
      </c>
    </row>
    <row r="113" spans="2:7" x14ac:dyDescent="0.25">
      <c r="B113" s="1" t="s">
        <v>287</v>
      </c>
      <c r="E113" s="1"/>
    </row>
    <row r="114" spans="2:7" x14ac:dyDescent="0.25">
      <c r="B114" t="s">
        <v>199</v>
      </c>
      <c r="C114" t="s">
        <v>200</v>
      </c>
      <c r="D114" t="s">
        <v>201</v>
      </c>
      <c r="F114" t="s">
        <v>210</v>
      </c>
      <c r="G114" t="s">
        <v>211</v>
      </c>
    </row>
    <row r="115" spans="2:7" x14ac:dyDescent="0.25">
      <c r="B115" s="12">
        <v>0.95</v>
      </c>
      <c r="C115">
        <f>6.623*(B115-0.05)^2-8.55*(B115-0.05)+3.09</f>
        <v>0.7596299999999987</v>
      </c>
      <c r="D115">
        <f>9.17*(B115-0.05)^2-11.971*(B115-0.05)+4.3583</f>
        <v>1.0120999999999984</v>
      </c>
      <c r="F115">
        <v>5.3170379048810661</v>
      </c>
      <c r="G115">
        <v>4.4308649207342219</v>
      </c>
    </row>
    <row r="116" spans="2:7" x14ac:dyDescent="0.25">
      <c r="B116" s="12">
        <v>0.9</v>
      </c>
      <c r="C116">
        <f>6.623*(B116-0.05)^2-8.55*(B116-0.05)+3.09</f>
        <v>0.60761749999999903</v>
      </c>
      <c r="D116">
        <f>9.17*(B116-0.05)^2-11.971*(B116-0.05)+4.3583</f>
        <v>0.80827499999999919</v>
      </c>
      <c r="F116">
        <v>6</v>
      </c>
      <c r="G116">
        <v>5</v>
      </c>
    </row>
    <row r="117" spans="2:7" x14ac:dyDescent="0.25">
      <c r="B117" s="12">
        <v>0.85</v>
      </c>
      <c r="C117">
        <f>6.623*(B117-0.05)^2-8.55*(B117-0.05)+3.09</f>
        <v>0.48871999999999982</v>
      </c>
      <c r="D117">
        <f>9.17*(B117-0.05)^2-11.971*(B117-0.05)+4.3583</f>
        <v>0.65030000000000054</v>
      </c>
      <c r="F117">
        <f>-13.659*0.85+18.293</f>
        <v>6.6828499999999984</v>
      </c>
      <c r="G117">
        <f>-11.383*0.85+15.244</f>
        <v>5.5684500000000003</v>
      </c>
    </row>
    <row r="118" spans="2:7" x14ac:dyDescent="0.25">
      <c r="B118" s="12">
        <v>0.8</v>
      </c>
      <c r="C118">
        <f>6.623*(B118-0.05)^2-8.55*(B118-0.05)+3.09</f>
        <v>0.40293749999999928</v>
      </c>
      <c r="D118">
        <f>9.17*(B118-0.05)^2-11.971*(B118-0.05)+4.3583</f>
        <v>0.53817500000000074</v>
      </c>
      <c r="F118">
        <v>7.3659241902378696</v>
      </c>
      <c r="G118">
        <v>6.138270158531558</v>
      </c>
    </row>
    <row r="119" spans="2:7" x14ac:dyDescent="0.25">
      <c r="B119" s="140">
        <v>0.7</v>
      </c>
      <c r="C119" s="141">
        <f>6.623*(B119-0.05)^2-8.55*(B119-0.05)+3.09</f>
        <v>0.33071749999999911</v>
      </c>
      <c r="D119" s="141">
        <f>9.17*(B119-0.05)^2-11.971*(B119-0.05)+4.3583</f>
        <v>0.4514749999999994</v>
      </c>
      <c r="E119" s="141"/>
      <c r="F119" s="141">
        <v>8.7318483804757356</v>
      </c>
      <c r="G119" s="141">
        <v>7.2765403170631142</v>
      </c>
    </row>
    <row r="120" spans="2:7" x14ac:dyDescent="0.25">
      <c r="B120" t="s">
        <v>205</v>
      </c>
      <c r="C120" s="1">
        <f>VLOOKUP($C$23,$B$115:$D$119,2,0)</f>
        <v>0.60761749999999903</v>
      </c>
      <c r="E120" t="s">
        <v>208</v>
      </c>
      <c r="F120" s="1">
        <f>VLOOKUP($C$23,$B$115:$G$119,5,0)</f>
        <v>6</v>
      </c>
      <c r="G120" t="s">
        <v>216</v>
      </c>
    </row>
    <row r="121" spans="2:7" x14ac:dyDescent="0.25">
      <c r="B121" t="s">
        <v>206</v>
      </c>
      <c r="C121" s="1">
        <f>VLOOKUP($C$23,$B$115:$D$119,3,0)</f>
        <v>0.80827499999999919</v>
      </c>
      <c r="F121" s="1">
        <f>VLOOKUP($C$23,$B$115:$G$119,6,0)</f>
        <v>5</v>
      </c>
    </row>
    <row r="122" spans="2:7" x14ac:dyDescent="0.25">
      <c r="C122" s="1"/>
      <c r="F122" s="1"/>
    </row>
    <row r="123" spans="2:7" x14ac:dyDescent="0.25">
      <c r="B123" s="1" t="s">
        <v>320</v>
      </c>
      <c r="C123" s="1"/>
      <c r="F123" s="1"/>
    </row>
    <row r="124" spans="2:7" x14ac:dyDescent="0.25">
      <c r="B124" t="s">
        <v>302</v>
      </c>
      <c r="C124">
        <f>IF($C$40=4,1/2,IF($C$40=3,1/SQRT(2),1))</f>
        <v>0.5</v>
      </c>
      <c r="F124" s="1"/>
    </row>
    <row r="125" spans="2:7" x14ac:dyDescent="0.25">
      <c r="B125" t="s">
        <v>304</v>
      </c>
      <c r="C125">
        <f>(1/C124)^2</f>
        <v>4</v>
      </c>
      <c r="D125" t="s">
        <v>318</v>
      </c>
      <c r="F125" s="1"/>
    </row>
    <row r="126" spans="2:7" x14ac:dyDescent="0.25">
      <c r="B126" t="s">
        <v>310</v>
      </c>
      <c r="C126">
        <f>IF(D21="2a",1,2)</f>
        <v>2</v>
      </c>
      <c r="F126" s="1"/>
    </row>
    <row r="127" spans="2:7" x14ac:dyDescent="0.25">
      <c r="B127" t="s">
        <v>317</v>
      </c>
      <c r="C127">
        <f>IF($D$21="2s",0.25,IF($D$21="3w",0.5,1))</f>
        <v>1</v>
      </c>
      <c r="D127" t="s">
        <v>319</v>
      </c>
      <c r="F127" s="1"/>
    </row>
    <row r="128" spans="2:7" x14ac:dyDescent="0.25">
      <c r="F128" s="1"/>
    </row>
    <row r="129" spans="2:6" x14ac:dyDescent="0.25">
      <c r="B129" s="199" t="s">
        <v>407</v>
      </c>
      <c r="C129" t="s">
        <v>410</v>
      </c>
      <c r="F129" s="1"/>
    </row>
    <row r="130" spans="2:6" x14ac:dyDescent="0.25">
      <c r="B130" s="1"/>
      <c r="C130" s="1" t="s">
        <v>2</v>
      </c>
      <c r="F130" s="1"/>
    </row>
    <row r="131" spans="2:6" x14ac:dyDescent="0.25">
      <c r="B131" t="s">
        <v>408</v>
      </c>
      <c r="C131">
        <v>1.0999999999999999E-2</v>
      </c>
      <c r="F131" s="1"/>
    </row>
    <row r="132" spans="2:6" x14ac:dyDescent="0.25">
      <c r="B132" t="s">
        <v>409</v>
      </c>
      <c r="C132">
        <f>(C131*$C$14)^2</f>
        <v>1.2099999999999997</v>
      </c>
      <c r="F132" s="1"/>
    </row>
    <row r="133" spans="2:6" x14ac:dyDescent="0.25">
      <c r="F133" s="1"/>
    </row>
    <row r="134" spans="2:6" x14ac:dyDescent="0.25">
      <c r="B134" s="199" t="s">
        <v>635</v>
      </c>
      <c r="F134" s="1"/>
    </row>
    <row r="135" spans="2:6" x14ac:dyDescent="0.25">
      <c r="B135" t="s">
        <v>8</v>
      </c>
      <c r="C135" t="s">
        <v>638</v>
      </c>
      <c r="D135" t="s">
        <v>637</v>
      </c>
      <c r="E135" t="s">
        <v>636</v>
      </c>
      <c r="F135" t="s">
        <v>472</v>
      </c>
    </row>
    <row r="136" spans="2:6" x14ac:dyDescent="0.25">
      <c r="B136">
        <v>60</v>
      </c>
      <c r="C136">
        <v>-1.0427</v>
      </c>
      <c r="D136">
        <v>1.2609999999999999</v>
      </c>
      <c r="E136">
        <v>3.0318000000000001</v>
      </c>
      <c r="F136">
        <v>44.286000000000001</v>
      </c>
    </row>
    <row r="137" spans="2:6" x14ac:dyDescent="0.25">
      <c r="B137">
        <v>20</v>
      </c>
      <c r="C137">
        <v>59.823999999999998</v>
      </c>
      <c r="D137">
        <v>-103.6</v>
      </c>
      <c r="E137">
        <v>50.612000000000002</v>
      </c>
      <c r="F137">
        <v>25.212</v>
      </c>
    </row>
    <row r="138" spans="2:6" x14ac:dyDescent="0.25">
      <c r="F138" s="1"/>
    </row>
    <row r="139" spans="2:6" x14ac:dyDescent="0.25">
      <c r="B139" s="199" t="s">
        <v>424</v>
      </c>
      <c r="F139" s="1"/>
    </row>
    <row r="140" spans="2:6" x14ac:dyDescent="0.25">
      <c r="B140" t="s">
        <v>421</v>
      </c>
      <c r="C140" s="8">
        <v>24.62</v>
      </c>
      <c r="D140" t="s">
        <v>6</v>
      </c>
      <c r="F140" s="1"/>
    </row>
    <row r="141" spans="2:6" x14ac:dyDescent="0.25">
      <c r="B141" t="s">
        <v>422</v>
      </c>
      <c r="C141" s="8">
        <v>16.8</v>
      </c>
      <c r="D141" t="s">
        <v>6</v>
      </c>
      <c r="F141" s="1"/>
    </row>
    <row r="142" spans="2:6" x14ac:dyDescent="0.25">
      <c r="B142" t="s">
        <v>423</v>
      </c>
      <c r="C142" s="8">
        <v>10.199999999999999</v>
      </c>
      <c r="D142" t="s">
        <v>6</v>
      </c>
      <c r="F142" s="1"/>
    </row>
    <row r="143" spans="2:6" x14ac:dyDescent="0.25">
      <c r="B143" s="199" t="s">
        <v>469</v>
      </c>
      <c r="C143" s="109"/>
      <c r="F143" s="1"/>
    </row>
    <row r="144" spans="2:6" x14ac:dyDescent="0.25">
      <c r="B144" t="s">
        <v>470</v>
      </c>
      <c r="C144" s="323">
        <v>1.5616559028101117E-3</v>
      </c>
      <c r="D144" t="s">
        <v>474</v>
      </c>
      <c r="F144" s="1"/>
    </row>
    <row r="145" spans="2:135" x14ac:dyDescent="0.25">
      <c r="B145" t="s">
        <v>471</v>
      </c>
      <c r="C145">
        <v>-0.28875528616424728</v>
      </c>
      <c r="D145" t="s">
        <v>475</v>
      </c>
      <c r="F145" s="1"/>
    </row>
    <row r="146" spans="2:135" x14ac:dyDescent="0.25">
      <c r="B146" t="s">
        <v>472</v>
      </c>
      <c r="C146" s="323">
        <v>16.175093545609244</v>
      </c>
      <c r="D146" t="s">
        <v>472</v>
      </c>
      <c r="F146" s="1"/>
    </row>
    <row r="147" spans="2:135" x14ac:dyDescent="0.25">
      <c r="B147" t="s">
        <v>473</v>
      </c>
      <c r="C147" s="109">
        <v>110</v>
      </c>
      <c r="D147" t="s">
        <v>476</v>
      </c>
      <c r="F147" s="1"/>
    </row>
    <row r="148" spans="2:135" x14ac:dyDescent="0.25">
      <c r="C148" s="109"/>
      <c r="F148" s="1"/>
    </row>
    <row r="149" spans="2:135" x14ac:dyDescent="0.25">
      <c r="B149" s="199" t="s">
        <v>1028</v>
      </c>
      <c r="C149" s="109"/>
      <c r="F149" s="1"/>
    </row>
    <row r="150" spans="2:135" x14ac:dyDescent="0.25">
      <c r="B150" t="s">
        <v>1029</v>
      </c>
      <c r="C150" s="109"/>
      <c r="F150" s="1"/>
    </row>
    <row r="151" spans="2:135" x14ac:dyDescent="0.25">
      <c r="C151" s="109"/>
      <c r="F151" s="1"/>
    </row>
    <row r="152" spans="2:135" x14ac:dyDescent="0.25">
      <c r="C152" s="109"/>
      <c r="F152" s="1"/>
    </row>
    <row r="154" spans="2:135" x14ac:dyDescent="0.25">
      <c r="C154" s="1"/>
      <c r="F154" s="1"/>
    </row>
    <row r="155" spans="2:135" ht="20.25" thickBot="1" x14ac:dyDescent="0.35">
      <c r="B155" s="3">
        <v>355</v>
      </c>
      <c r="CV155" s="159" t="s">
        <v>4</v>
      </c>
    </row>
    <row r="156" spans="2:135" ht="15.75" thickTop="1" x14ac:dyDescent="0.25">
      <c r="CV156" s="157"/>
    </row>
    <row r="157" spans="2:135" x14ac:dyDescent="0.25">
      <c r="B157" s="199" t="s">
        <v>334</v>
      </c>
      <c r="I157" s="199" t="s">
        <v>335</v>
      </c>
      <c r="P157" s="199" t="s">
        <v>353</v>
      </c>
      <c r="W157" s="199" t="s">
        <v>354</v>
      </c>
      <c r="AD157" s="199" t="s">
        <v>355</v>
      </c>
      <c r="AK157" s="199" t="s">
        <v>356</v>
      </c>
      <c r="AR157" s="199" t="s">
        <v>400</v>
      </c>
      <c r="AY157" s="199" t="s">
        <v>415</v>
      </c>
      <c r="BF157" s="199" t="s">
        <v>416</v>
      </c>
      <c r="BM157" s="199" t="s">
        <v>417</v>
      </c>
      <c r="BT157" s="199" t="s">
        <v>418</v>
      </c>
      <c r="CA157" s="1"/>
      <c r="CH157" s="1"/>
      <c r="CO157" s="1"/>
      <c r="CV157" s="160"/>
      <c r="DC157" s="1"/>
      <c r="DJ157" s="1"/>
      <c r="DQ157" s="1"/>
      <c r="DX157" s="1"/>
      <c r="EE157" s="1"/>
    </row>
    <row r="158" spans="2:135" x14ac:dyDescent="0.25">
      <c r="B158" t="s">
        <v>336</v>
      </c>
      <c r="C158">
        <v>300</v>
      </c>
      <c r="I158" s="1"/>
      <c r="P158" s="1"/>
      <c r="W158" s="1"/>
      <c r="AD158" s="1"/>
      <c r="AK158" s="1"/>
      <c r="AR158" s="1"/>
      <c r="BF158" s="1"/>
      <c r="BM158" s="1"/>
      <c r="BT158" s="1"/>
      <c r="CA158" s="1"/>
      <c r="CH158" s="1"/>
      <c r="CO158" s="1"/>
      <c r="CV158" s="160"/>
      <c r="DC158" s="1"/>
      <c r="DJ158" s="1"/>
      <c r="DQ158" s="1"/>
      <c r="DX158" s="1"/>
      <c r="EE158" s="1"/>
    </row>
    <row r="159" spans="2:135" x14ac:dyDescent="0.25">
      <c r="I159" s="1"/>
      <c r="P159" s="1"/>
      <c r="W159" s="1"/>
      <c r="AD159" s="1"/>
      <c r="AK159" s="1"/>
      <c r="AR159" s="1"/>
      <c r="BF159" s="1"/>
      <c r="BM159" s="1"/>
      <c r="BT159" s="1"/>
      <c r="CA159" s="1"/>
      <c r="CH159" s="1"/>
      <c r="CO159" s="1"/>
      <c r="CV159" s="160"/>
      <c r="DC159" s="1"/>
      <c r="DJ159" s="1"/>
      <c r="DQ159" s="1"/>
      <c r="DX159" s="1"/>
      <c r="EE159" s="1"/>
    </row>
    <row r="160" spans="2:135" x14ac:dyDescent="0.25">
      <c r="B160" s="199" t="s">
        <v>425</v>
      </c>
      <c r="I160" s="199" t="s">
        <v>425</v>
      </c>
      <c r="P160" s="199" t="s">
        <v>425</v>
      </c>
      <c r="W160" s="199" t="s">
        <v>425</v>
      </c>
      <c r="AD160" s="199" t="s">
        <v>425</v>
      </c>
      <c r="AK160" s="199" t="s">
        <v>425</v>
      </c>
      <c r="AR160" s="199" t="s">
        <v>425</v>
      </c>
      <c r="AY160" s="199" t="s">
        <v>425</v>
      </c>
      <c r="BF160" s="199" t="s">
        <v>425</v>
      </c>
      <c r="BM160" s="199" t="s">
        <v>425</v>
      </c>
      <c r="BT160" s="199" t="s">
        <v>425</v>
      </c>
      <c r="CA160" s="1"/>
      <c r="CH160" s="1"/>
      <c r="CO160" s="1"/>
      <c r="CV160" s="160"/>
      <c r="DC160" s="1"/>
      <c r="DJ160" s="1"/>
      <c r="DQ160" s="1"/>
      <c r="DX160" s="1"/>
      <c r="EE160" s="1"/>
    </row>
    <row r="161" spans="2:135" x14ac:dyDescent="0.25">
      <c r="B161" s="1"/>
      <c r="C161" t="s">
        <v>412</v>
      </c>
      <c r="D161" t="s">
        <v>413</v>
      </c>
      <c r="F161" s="5"/>
      <c r="I161" s="1"/>
      <c r="J161" t="s">
        <v>412</v>
      </c>
      <c r="K161" t="s">
        <v>413</v>
      </c>
      <c r="M161" s="5"/>
      <c r="P161" s="1"/>
      <c r="Q161" t="s">
        <v>412</v>
      </c>
      <c r="R161" t="s">
        <v>413</v>
      </c>
      <c r="T161" s="5"/>
      <c r="W161" s="1"/>
      <c r="X161" t="s">
        <v>412</v>
      </c>
      <c r="Y161" t="s">
        <v>413</v>
      </c>
      <c r="AA161" s="5"/>
      <c r="AD161" s="1"/>
      <c r="AE161" t="s">
        <v>412</v>
      </c>
      <c r="AF161" t="s">
        <v>413</v>
      </c>
      <c r="AH161" s="5"/>
      <c r="AK161" s="1"/>
      <c r="AL161" t="s">
        <v>412</v>
      </c>
      <c r="AM161" t="s">
        <v>413</v>
      </c>
      <c r="AO161" s="5"/>
      <c r="AR161" s="1"/>
      <c r="AS161" t="s">
        <v>412</v>
      </c>
      <c r="AT161" t="s">
        <v>413</v>
      </c>
      <c r="AV161" s="5"/>
      <c r="AY161" s="1"/>
      <c r="AZ161" t="s">
        <v>412</v>
      </c>
      <c r="BA161" t="s">
        <v>413</v>
      </c>
      <c r="BC161" s="5"/>
      <c r="BF161" s="1"/>
      <c r="BG161" t="s">
        <v>412</v>
      </c>
      <c r="BH161" t="s">
        <v>413</v>
      </c>
      <c r="BJ161" s="5"/>
      <c r="BM161" s="1"/>
      <c r="BN161" t="s">
        <v>412</v>
      </c>
      <c r="BO161" t="s">
        <v>413</v>
      </c>
      <c r="BQ161" s="5"/>
      <c r="BT161" s="1"/>
      <c r="BU161" t="s">
        <v>412</v>
      </c>
      <c r="BV161" t="s">
        <v>413</v>
      </c>
      <c r="BX161" s="5"/>
      <c r="CA161" s="1"/>
      <c r="CH161" s="1"/>
      <c r="CO161" s="1"/>
      <c r="CV161" s="160"/>
      <c r="DC161" s="1"/>
      <c r="DJ161" s="1"/>
      <c r="DQ161" s="1"/>
      <c r="DX161" s="1"/>
      <c r="EE161" s="1"/>
    </row>
    <row r="162" spans="2:135" x14ac:dyDescent="0.25">
      <c r="B162" t="s">
        <v>111</v>
      </c>
      <c r="C162" s="142">
        <v>8</v>
      </c>
      <c r="D162" s="142">
        <v>4</v>
      </c>
      <c r="F162" s="5"/>
      <c r="I162" t="s">
        <v>111</v>
      </c>
      <c r="J162" s="142">
        <v>6</v>
      </c>
      <c r="K162" s="142">
        <v>3</v>
      </c>
      <c r="M162" s="5"/>
      <c r="P162" t="s">
        <v>111</v>
      </c>
      <c r="Q162" s="142">
        <v>5</v>
      </c>
      <c r="R162" s="142">
        <v>2</v>
      </c>
      <c r="T162" s="5"/>
      <c r="W162" t="s">
        <v>111</v>
      </c>
      <c r="X162" s="142">
        <v>4</v>
      </c>
      <c r="Y162" s="142">
        <v>2</v>
      </c>
      <c r="AA162" s="5"/>
      <c r="AD162" t="s">
        <v>111</v>
      </c>
      <c r="AE162" s="142">
        <v>3</v>
      </c>
      <c r="AF162" s="142">
        <v>2</v>
      </c>
      <c r="AH162" s="5"/>
      <c r="AK162" t="s">
        <v>111</v>
      </c>
      <c r="AL162" s="142">
        <v>3</v>
      </c>
      <c r="AM162" s="142">
        <v>1</v>
      </c>
      <c r="AO162" s="5"/>
      <c r="AR162" t="s">
        <v>111</v>
      </c>
      <c r="AS162" s="142">
        <v>3</v>
      </c>
      <c r="AT162" s="142">
        <v>0</v>
      </c>
      <c r="AV162" s="5"/>
      <c r="AY162" t="s">
        <v>111</v>
      </c>
      <c r="AZ162" s="142">
        <v>1</v>
      </c>
      <c r="BA162" s="142">
        <v>2</v>
      </c>
      <c r="BC162" s="5"/>
      <c r="BF162" t="s">
        <v>111</v>
      </c>
      <c r="BG162" s="142">
        <v>2</v>
      </c>
      <c r="BH162" s="142">
        <v>0</v>
      </c>
      <c r="BJ162" s="5"/>
      <c r="BM162" t="s">
        <v>111</v>
      </c>
      <c r="BN162" s="142">
        <v>1</v>
      </c>
      <c r="BO162" s="142">
        <v>1</v>
      </c>
      <c r="BQ162" s="5"/>
      <c r="BT162" t="s">
        <v>111</v>
      </c>
      <c r="BU162" s="142">
        <v>0</v>
      </c>
      <c r="BV162" s="142">
        <v>2</v>
      </c>
      <c r="BX162" s="5"/>
      <c r="CA162" s="1"/>
      <c r="CH162" s="1"/>
      <c r="CO162" s="1"/>
      <c r="CV162" s="160"/>
      <c r="DC162" s="1"/>
      <c r="DJ162" s="1"/>
      <c r="DQ162" s="1"/>
      <c r="DX162" s="1"/>
      <c r="EE162" s="1"/>
    </row>
    <row r="163" spans="2:135" x14ac:dyDescent="0.25">
      <c r="B163" s="1"/>
      <c r="F163" s="5"/>
      <c r="I163" s="1"/>
      <c r="M163" s="5"/>
      <c r="P163" s="1"/>
      <c r="T163" s="5"/>
      <c r="W163" s="1"/>
      <c r="AA163" s="5"/>
      <c r="AD163" s="1"/>
      <c r="AH163" s="5"/>
      <c r="AK163" s="1"/>
      <c r="AO163" s="5"/>
      <c r="AR163" s="1"/>
      <c r="AV163" s="5"/>
      <c r="BC163" s="5"/>
      <c r="BF163" s="1"/>
      <c r="BJ163" s="5"/>
      <c r="BM163" s="1"/>
      <c r="BQ163" s="5"/>
      <c r="BT163" s="1"/>
      <c r="BX163" s="5"/>
      <c r="CA163" s="1"/>
      <c r="CH163" s="1"/>
      <c r="CO163" s="1"/>
      <c r="CV163" s="160"/>
      <c r="DC163" s="1"/>
      <c r="DJ163" s="1"/>
      <c r="DQ163" s="1"/>
      <c r="DX163" s="1"/>
      <c r="EE163" s="1"/>
    </row>
    <row r="164" spans="2:135" x14ac:dyDescent="0.25">
      <c r="B164" s="1"/>
      <c r="C164" t="s">
        <v>414</v>
      </c>
      <c r="D164" s="5" t="s">
        <v>419</v>
      </c>
      <c r="I164" s="1"/>
      <c r="J164" t="s">
        <v>414</v>
      </c>
      <c r="K164" s="5" t="s">
        <v>419</v>
      </c>
      <c r="P164" s="1"/>
      <c r="Q164" t="s">
        <v>414</v>
      </c>
      <c r="R164" s="5" t="s">
        <v>419</v>
      </c>
      <c r="W164" s="1"/>
      <c r="X164" t="s">
        <v>414</v>
      </c>
      <c r="Y164" s="5" t="s">
        <v>419</v>
      </c>
      <c r="AD164" s="1"/>
      <c r="AE164" t="s">
        <v>414</v>
      </c>
      <c r="AF164" s="5" t="s">
        <v>419</v>
      </c>
      <c r="AK164" s="1"/>
      <c r="AL164" t="s">
        <v>414</v>
      </c>
      <c r="AM164" s="5" t="s">
        <v>419</v>
      </c>
      <c r="AR164" s="1"/>
      <c r="AS164" t="s">
        <v>414</v>
      </c>
      <c r="AT164" s="5" t="s">
        <v>419</v>
      </c>
      <c r="AY164" s="1"/>
      <c r="AZ164" t="s">
        <v>414</v>
      </c>
      <c r="BA164" s="5" t="s">
        <v>419</v>
      </c>
      <c r="BF164" s="1"/>
      <c r="BG164" t="s">
        <v>414</v>
      </c>
      <c r="BH164" s="5" t="s">
        <v>419</v>
      </c>
      <c r="BM164" s="1"/>
      <c r="BN164" t="s">
        <v>414</v>
      </c>
      <c r="BO164" s="5" t="s">
        <v>419</v>
      </c>
      <c r="BT164" s="1"/>
      <c r="BU164" t="s">
        <v>414</v>
      </c>
      <c r="BV164" s="5" t="s">
        <v>419</v>
      </c>
      <c r="CH164" s="1"/>
      <c r="CO164" s="1"/>
      <c r="CV164" s="160"/>
      <c r="DC164" s="1"/>
      <c r="DJ164" s="1"/>
      <c r="DQ164" s="1"/>
      <c r="DX164" s="1"/>
      <c r="EE164" s="1"/>
    </row>
    <row r="165" spans="2:135" x14ac:dyDescent="0.25">
      <c r="B165" t="s">
        <v>111</v>
      </c>
      <c r="C165" t="b">
        <f>NOT(SUM(C162:D162)=0)</f>
        <v>1</v>
      </c>
      <c r="D165">
        <f>IF(C165,C$162*$C$140+D$162*$C$141+$D$18+$C$142,0)</f>
        <v>274.36</v>
      </c>
      <c r="I165" t="s">
        <v>111</v>
      </c>
      <c r="J165" t="b">
        <f>NOT(SUM(J162:K162)=0)</f>
        <v>1</v>
      </c>
      <c r="K165">
        <f>IF(J165,J$162*$C$140+K$162*$C$141+$D$18+$C$142,0)</f>
        <v>208.32</v>
      </c>
      <c r="P165" t="s">
        <v>111</v>
      </c>
      <c r="Q165" t="b">
        <f>NOT(SUM(Q162:R162)=0)</f>
        <v>1</v>
      </c>
      <c r="R165">
        <f>IF(Q165,Q$162*$C$140+R$162*$C$141+$D$18+$C$142,0)</f>
        <v>166.9</v>
      </c>
      <c r="W165" t="s">
        <v>111</v>
      </c>
      <c r="X165" t="b">
        <f t="shared" ref="X165" si="2">NOT(SUM(X162:Y162)=0)</f>
        <v>1</v>
      </c>
      <c r="Y165">
        <f>IF(X165,X$162*$C$140+Y$162*$C$141+$D$18+$C$142,0)</f>
        <v>142.28</v>
      </c>
      <c r="AD165" t="s">
        <v>111</v>
      </c>
      <c r="AE165" t="b">
        <f t="shared" ref="AE165" si="3">NOT(SUM(AE162:AF162)=0)</f>
        <v>1</v>
      </c>
      <c r="AF165">
        <f>IF(AE165,AE$162*$C$140+AF$162*$C$141+$D$18+$C$142,0)</f>
        <v>117.66000000000001</v>
      </c>
      <c r="AK165" t="s">
        <v>111</v>
      </c>
      <c r="AL165" t="b">
        <f t="shared" ref="AL165" si="4">NOT(SUM(AL162:AM162)=0)</f>
        <v>1</v>
      </c>
      <c r="AM165">
        <f>IF(AL165,AL$162*$C$140+AM$162*$C$141+$D$18+$C$142,0)</f>
        <v>100.86</v>
      </c>
      <c r="AR165" t="s">
        <v>111</v>
      </c>
      <c r="AS165" t="b">
        <f t="shared" ref="AS165" si="5">NOT(SUM(AS162:AT162)=0)</f>
        <v>1</v>
      </c>
      <c r="AT165">
        <f>IF(AS165,AS$162*$C$140+AT$162*$C$141+$D$18+$C$142,0)</f>
        <v>84.06</v>
      </c>
      <c r="AY165" t="s">
        <v>111</v>
      </c>
      <c r="AZ165" t="b">
        <f t="shared" ref="AZ165" si="6">NOT(SUM(AZ162:BA162)=0)</f>
        <v>1</v>
      </c>
      <c r="BA165">
        <f>IF(AZ165,AZ$162*$C$140+BA$162*$C$141+$D$18+$C$142,0)</f>
        <v>68.42</v>
      </c>
      <c r="BF165" t="s">
        <v>111</v>
      </c>
      <c r="BG165" t="b">
        <f t="shared" ref="BG165" si="7">NOT(SUM(BG162:BH162)=0)</f>
        <v>1</v>
      </c>
      <c r="BH165">
        <f>IF(BG165,BG$162*$C$140+BH$162*$C$141+$D$18+$C$142,0)</f>
        <v>59.44</v>
      </c>
      <c r="BM165" t="s">
        <v>111</v>
      </c>
      <c r="BN165" t="b">
        <f t="shared" ref="BN165" si="8">NOT(SUM(BN162:BO162)=0)</f>
        <v>1</v>
      </c>
      <c r="BO165">
        <f>IF(BN165,BN$162*$C$140+BO$162*$C$141+$D$18+$C$142,0)</f>
        <v>51.620000000000005</v>
      </c>
      <c r="BT165" t="s">
        <v>111</v>
      </c>
      <c r="BU165" t="b">
        <f t="shared" ref="BU165" si="9">NOT(SUM(BU162:BV162)=0)</f>
        <v>1</v>
      </c>
      <c r="BV165">
        <f>IF(BU165,BU$162*$C$140+BV$162*$C$141+$D$18+$C$142,0)</f>
        <v>43.8</v>
      </c>
      <c r="CH165" s="1"/>
      <c r="CO165" s="1"/>
      <c r="CV165" s="160"/>
      <c r="DC165" s="1"/>
      <c r="DJ165" s="1"/>
      <c r="DQ165" s="1"/>
      <c r="DX165" s="1"/>
      <c r="EE165" s="1"/>
    </row>
    <row r="166" spans="2:135" x14ac:dyDescent="0.25">
      <c r="B166" t="s">
        <v>112</v>
      </c>
      <c r="C166" t="b">
        <v>0</v>
      </c>
      <c r="D166">
        <f>IF(C166,C$162*$C$140+D$162*$C$141+$D$18+$C$142,0)</f>
        <v>0</v>
      </c>
      <c r="I166" t="s">
        <v>112</v>
      </c>
      <c r="J166" t="b">
        <v>1</v>
      </c>
      <c r="K166">
        <f>IF(J166,J$162*$C$140+K$162*$C$141+$D$18+$C$142,0)</f>
        <v>208.32</v>
      </c>
      <c r="P166" t="s">
        <v>112</v>
      </c>
      <c r="Q166" t="b">
        <v>1</v>
      </c>
      <c r="R166">
        <f>IF(Q166,Q$162*$C$140+R$162*$C$141+$D$18+$C$142,0)</f>
        <v>166.9</v>
      </c>
      <c r="W166" t="s">
        <v>112</v>
      </c>
      <c r="X166" t="b">
        <v>1</v>
      </c>
      <c r="Y166">
        <f>IF(X166,X$162*$C$140+Y$162*$C$141+$D$18+$C$142,0)</f>
        <v>142.28</v>
      </c>
      <c r="AD166" t="s">
        <v>112</v>
      </c>
      <c r="AE166" t="b">
        <v>1</v>
      </c>
      <c r="AF166">
        <f>IF(AE166,AE$162*$C$140+AF$162*$C$141+$D$18+$C$142,0)</f>
        <v>117.66000000000001</v>
      </c>
      <c r="AK166" t="s">
        <v>112</v>
      </c>
      <c r="AL166" t="b">
        <v>1</v>
      </c>
      <c r="AM166">
        <f>IF(AL166,AL$162*$C$140+AM$162*$C$141+$D$18+$C$142,0)</f>
        <v>100.86</v>
      </c>
      <c r="AR166" t="s">
        <v>112</v>
      </c>
      <c r="AS166" t="b">
        <v>1</v>
      </c>
      <c r="AT166">
        <f>IF(AS166,AS$162*$C$140+AT$162*$C$141+$D$18+$C$142,0)</f>
        <v>84.06</v>
      </c>
      <c r="AY166" t="s">
        <v>112</v>
      </c>
      <c r="AZ166" t="b">
        <v>1</v>
      </c>
      <c r="BA166">
        <f>IF(AZ166,AZ$162*$C$140+BA$162*$C$141+$D$18+$C$142,0)</f>
        <v>68.42</v>
      </c>
      <c r="BF166" t="s">
        <v>112</v>
      </c>
      <c r="BG166" t="b">
        <v>1</v>
      </c>
      <c r="BH166">
        <f>IF(BG166,BG$162*$C$140+BH$162*$C$141+$D$18+$C$142,0)</f>
        <v>59.44</v>
      </c>
      <c r="BM166" t="s">
        <v>112</v>
      </c>
      <c r="BN166" t="b">
        <v>1</v>
      </c>
      <c r="BO166">
        <f>IF(BN166,BN$162*$C$140+BO$162*$C$141+$D$18+$C$142,0)</f>
        <v>51.620000000000005</v>
      </c>
      <c r="BT166" t="s">
        <v>112</v>
      </c>
      <c r="BU166" t="b">
        <v>1</v>
      </c>
      <c r="BV166">
        <f>IF(BU166,BU$162*$C$140+BV$162*$C$141+$D$18+$C$142,0)</f>
        <v>43.8</v>
      </c>
      <c r="CH166" s="1"/>
      <c r="CO166" s="1"/>
      <c r="CV166" s="160"/>
      <c r="DC166" s="1"/>
      <c r="DJ166" s="1"/>
      <c r="DQ166" s="1"/>
      <c r="DX166" s="1"/>
      <c r="EE166" s="1"/>
    </row>
    <row r="167" spans="2:135" x14ac:dyDescent="0.25">
      <c r="B167" t="s">
        <v>113</v>
      </c>
      <c r="C167" t="b">
        <v>0</v>
      </c>
      <c r="D167">
        <f>IF(C167,C$162*$C$140+D$162*$C$141+$D$18+$C$142,0)</f>
        <v>0</v>
      </c>
      <c r="I167" t="s">
        <v>113</v>
      </c>
      <c r="J167" t="b">
        <v>0</v>
      </c>
      <c r="K167">
        <f>IF(J167,J$162*$C$140+K$162*$C$141+$D$18+$C$142,0)</f>
        <v>0</v>
      </c>
      <c r="P167" t="s">
        <v>113</v>
      </c>
      <c r="Q167" t="b">
        <v>1</v>
      </c>
      <c r="R167">
        <f>IF(Q167,Q$162*$C$140+R$162*$C$141+$D$18+$C$142,0)</f>
        <v>166.9</v>
      </c>
      <c r="W167" t="s">
        <v>113</v>
      </c>
      <c r="X167" t="b">
        <v>1</v>
      </c>
      <c r="Y167">
        <f>IF(X167,X$162*$C$140+Y$162*$C$141+$D$18+$C$142,0)</f>
        <v>142.28</v>
      </c>
      <c r="AD167" t="s">
        <v>113</v>
      </c>
      <c r="AE167" t="b">
        <v>1</v>
      </c>
      <c r="AF167">
        <f>IF(AE167,AE$162*$C$140+AF$162*$C$141+$D$18+$C$142,0)</f>
        <v>117.66000000000001</v>
      </c>
      <c r="AK167" t="s">
        <v>113</v>
      </c>
      <c r="AL167" t="b">
        <v>1</v>
      </c>
      <c r="AM167">
        <f>IF(AL167,AL$162*$C$140+AM$162*$C$141+$D$18+$C$142,0)</f>
        <v>100.86</v>
      </c>
      <c r="AR167" t="s">
        <v>113</v>
      </c>
      <c r="AS167" t="b">
        <v>1</v>
      </c>
      <c r="AT167">
        <f>IF(AS167,AS$162*$C$140+AT$162*$C$141+$D$18+$C$142,0)</f>
        <v>84.06</v>
      </c>
      <c r="AY167" t="s">
        <v>113</v>
      </c>
      <c r="AZ167" t="b">
        <v>1</v>
      </c>
      <c r="BA167">
        <f>IF(AZ167,AZ$162*$C$140+BA$162*$C$141+$D$18+$C$142,0)</f>
        <v>68.42</v>
      </c>
      <c r="BF167" t="s">
        <v>113</v>
      </c>
      <c r="BG167" t="b">
        <v>1</v>
      </c>
      <c r="BH167">
        <f>IF(BG167,BG$162*$C$140+BH$162*$C$141+$D$18+$C$142,0)</f>
        <v>59.44</v>
      </c>
      <c r="BM167" t="s">
        <v>113</v>
      </c>
      <c r="BN167" t="b">
        <v>1</v>
      </c>
      <c r="BO167">
        <f>IF(BN167,BN$162*$C$140+BO$162*$C$141+$D$18+$C$142,0)</f>
        <v>51.620000000000005</v>
      </c>
      <c r="BT167" t="s">
        <v>113</v>
      </c>
      <c r="BU167" t="b">
        <v>1</v>
      </c>
      <c r="BV167">
        <f>IF(BU167,BU$162*$C$140+BV$162*$C$141+$D$18+$C$142,0)</f>
        <v>43.8</v>
      </c>
      <c r="CH167" s="1"/>
      <c r="CO167" s="1"/>
      <c r="CV167" s="160"/>
      <c r="DC167" s="1"/>
      <c r="DJ167" s="1"/>
      <c r="DQ167" s="1"/>
      <c r="DX167" s="1"/>
      <c r="EE167" s="1"/>
    </row>
    <row r="168" spans="2:135" x14ac:dyDescent="0.25">
      <c r="B168" t="s">
        <v>114</v>
      </c>
      <c r="C168" t="b">
        <v>0</v>
      </c>
      <c r="D168">
        <f>IF(C168,C$162*$C$140+D$162*$C$141+$D$18+$C$142,0)</f>
        <v>0</v>
      </c>
      <c r="I168" t="s">
        <v>114</v>
      </c>
      <c r="J168" t="b">
        <v>0</v>
      </c>
      <c r="K168">
        <f>IF(J168,J$162*$C$140+K$162*$C$141+$D$18+$C$142,0)</f>
        <v>0</v>
      </c>
      <c r="P168" t="s">
        <v>114</v>
      </c>
      <c r="Q168" t="b">
        <v>1</v>
      </c>
      <c r="R168">
        <f>IF(Q168,Q$162*$C$140+R$162*$C$141+$D$18+$C$142,0)</f>
        <v>166.9</v>
      </c>
      <c r="W168" t="s">
        <v>114</v>
      </c>
      <c r="X168" t="b">
        <v>1</v>
      </c>
      <c r="Y168">
        <f>IF(X168,X$162*$C$140+Y$162*$C$141+$D$18+$C$142,0)</f>
        <v>142.28</v>
      </c>
      <c r="AD168" t="s">
        <v>114</v>
      </c>
      <c r="AE168" t="b">
        <v>1</v>
      </c>
      <c r="AF168">
        <f>IF(AE168,AE$162*$C$140+AF$162*$C$141+$D$18+$C$142,0)</f>
        <v>117.66000000000001</v>
      </c>
      <c r="AK168" t="s">
        <v>114</v>
      </c>
      <c r="AL168" t="b">
        <v>1</v>
      </c>
      <c r="AM168">
        <f>IF(AL168,AL$162*$C$140+AM$162*$C$141+$D$18+$C$142,0)</f>
        <v>100.86</v>
      </c>
      <c r="AR168" t="s">
        <v>114</v>
      </c>
      <c r="AS168" t="b">
        <v>1</v>
      </c>
      <c r="AT168">
        <f>IF(AS168,AS$162*$C$140+AT$162*$C$141+$D$18+$C$142,0)</f>
        <v>84.06</v>
      </c>
      <c r="AY168" t="s">
        <v>114</v>
      </c>
      <c r="AZ168" t="b">
        <v>1</v>
      </c>
      <c r="BA168">
        <f>IF(AZ168,AZ$162*$C$140+BA$162*$C$141+$D$18+$C$142,0)</f>
        <v>68.42</v>
      </c>
      <c r="BF168" t="s">
        <v>114</v>
      </c>
      <c r="BG168" t="b">
        <v>1</v>
      </c>
      <c r="BH168">
        <f>IF(BG168,BG$162*$C$140+BH$162*$C$141+$D$18+$C$142,0)</f>
        <v>59.44</v>
      </c>
      <c r="BM168" t="s">
        <v>114</v>
      </c>
      <c r="BN168" t="b">
        <v>1</v>
      </c>
      <c r="BO168">
        <f>IF(BN168,BN$162*$C$140+BO$162*$C$141+$D$18+$C$142,0)</f>
        <v>51.620000000000005</v>
      </c>
      <c r="BT168" t="s">
        <v>114</v>
      </c>
      <c r="BU168" t="b">
        <v>1</v>
      </c>
      <c r="BV168">
        <f>IF(BU168,BU$162*$C$140+BV$162*$C$141+$D$18+$C$142,0)</f>
        <v>43.8</v>
      </c>
      <c r="CH168" s="1"/>
      <c r="CO168" s="1"/>
      <c r="CV168" s="160"/>
      <c r="DC168" s="1"/>
      <c r="DJ168" s="1"/>
      <c r="DQ168" s="1"/>
      <c r="DX168" s="1"/>
      <c r="EE168" s="1"/>
    </row>
    <row r="169" spans="2:135" x14ac:dyDescent="0.25">
      <c r="B169" s="303" t="s">
        <v>420</v>
      </c>
      <c r="C169" s="304" t="b">
        <f>VLOOKUP($D$21,B165:D168,2,0)</f>
        <v>1</v>
      </c>
      <c r="D169" s="304">
        <f>VLOOKUP($D$21,B165:D168,3,0)</f>
        <v>274.36</v>
      </c>
      <c r="E169" s="304" t="s">
        <v>6</v>
      </c>
      <c r="F169" s="303"/>
      <c r="I169" s="303" t="s">
        <v>420</v>
      </c>
      <c r="J169" s="304" t="b">
        <f t="shared" ref="J169" si="10">VLOOKUP($D$21,I165:K168,2,0)</f>
        <v>1</v>
      </c>
      <c r="K169" s="304">
        <f t="shared" ref="K169" si="11">VLOOKUP($D$21,I165:K168,3,0)</f>
        <v>208.32</v>
      </c>
      <c r="L169" s="304" t="s">
        <v>6</v>
      </c>
      <c r="M169" s="303"/>
      <c r="P169" s="303" t="s">
        <v>420</v>
      </c>
      <c r="Q169" s="304" t="b">
        <f t="shared" ref="Q169" si="12">VLOOKUP($D$21,P165:R168,2,0)</f>
        <v>1</v>
      </c>
      <c r="R169" s="304">
        <f t="shared" ref="R169" si="13">VLOOKUP($D$21,P165:R168,3,0)</f>
        <v>166.9</v>
      </c>
      <c r="S169" s="304" t="s">
        <v>6</v>
      </c>
      <c r="T169" s="303"/>
      <c r="W169" s="303" t="s">
        <v>420</v>
      </c>
      <c r="X169" s="304" t="b">
        <f t="shared" ref="X169" si="14">VLOOKUP($D$21,W165:Y168,2,0)</f>
        <v>1</v>
      </c>
      <c r="Y169" s="304">
        <f t="shared" ref="Y169" si="15">VLOOKUP($D$21,W165:Y168,3,0)</f>
        <v>142.28</v>
      </c>
      <c r="Z169" s="304" t="s">
        <v>6</v>
      </c>
      <c r="AA169" s="303"/>
      <c r="AD169" s="303" t="s">
        <v>420</v>
      </c>
      <c r="AE169" s="304" t="b">
        <f t="shared" ref="AE169" si="16">VLOOKUP($D$21,AD165:AF168,2,0)</f>
        <v>1</v>
      </c>
      <c r="AF169" s="304">
        <f t="shared" ref="AF169" si="17">VLOOKUP($D$21,AD165:AF168,3,0)</f>
        <v>117.66000000000001</v>
      </c>
      <c r="AG169" s="304" t="s">
        <v>6</v>
      </c>
      <c r="AH169" s="303"/>
      <c r="AK169" s="303" t="s">
        <v>420</v>
      </c>
      <c r="AL169" s="304" t="b">
        <f t="shared" ref="AL169" si="18">VLOOKUP($D$21,AK165:AM168,2,0)</f>
        <v>1</v>
      </c>
      <c r="AM169" s="304">
        <f t="shared" ref="AM169" si="19">VLOOKUP($D$21,AK165:AM168,3,0)</f>
        <v>100.86</v>
      </c>
      <c r="AN169" s="304" t="s">
        <v>6</v>
      </c>
      <c r="AO169" s="303"/>
      <c r="AR169" s="303" t="s">
        <v>420</v>
      </c>
      <c r="AS169" s="304" t="b">
        <f t="shared" ref="AS169" si="20">VLOOKUP($D$21,AR165:AT168,2,0)</f>
        <v>1</v>
      </c>
      <c r="AT169" s="304">
        <f t="shared" ref="AT169" si="21">VLOOKUP($D$21,AR165:AT168,3,0)</f>
        <v>84.06</v>
      </c>
      <c r="AU169" s="304" t="s">
        <v>6</v>
      </c>
      <c r="AV169" s="303"/>
      <c r="AY169" s="303" t="s">
        <v>420</v>
      </c>
      <c r="AZ169" s="304" t="b">
        <f t="shared" ref="AZ169" si="22">VLOOKUP($D$21,AY165:BA168,2,0)</f>
        <v>1</v>
      </c>
      <c r="BA169" s="304">
        <f t="shared" ref="BA169" si="23">VLOOKUP($D$21,AY165:BA168,3,0)</f>
        <v>68.42</v>
      </c>
      <c r="BB169" s="304" t="s">
        <v>6</v>
      </c>
      <c r="BC169" s="303"/>
      <c r="BF169" s="303" t="s">
        <v>420</v>
      </c>
      <c r="BG169" s="304" t="b">
        <f t="shared" ref="BG169" si="24">VLOOKUP($D$21,BF165:BH168,2,0)</f>
        <v>1</v>
      </c>
      <c r="BH169" s="304">
        <f t="shared" ref="BH169" si="25">VLOOKUP($D$21,BF165:BH168,3,0)</f>
        <v>59.44</v>
      </c>
      <c r="BI169" s="304" t="s">
        <v>6</v>
      </c>
      <c r="BJ169" s="303"/>
      <c r="BM169" s="303" t="s">
        <v>420</v>
      </c>
      <c r="BN169" s="304" t="b">
        <f t="shared" ref="BN169" si="26">VLOOKUP($D$21,BM165:BO168,2,0)</f>
        <v>1</v>
      </c>
      <c r="BO169" s="304">
        <f t="shared" ref="BO169" si="27">VLOOKUP($D$21,BM165:BO168,3,0)</f>
        <v>51.620000000000005</v>
      </c>
      <c r="BP169" s="304" t="s">
        <v>6</v>
      </c>
      <c r="BQ169" s="303"/>
      <c r="BT169" s="303" t="s">
        <v>420</v>
      </c>
      <c r="BU169" s="304" t="b">
        <f t="shared" ref="BU169" si="28">VLOOKUP($D$21,BT165:BV168,2,0)</f>
        <v>1</v>
      </c>
      <c r="BV169" s="304">
        <f t="shared" ref="BV169" si="29">VLOOKUP($D$21,BT165:BV168,3,0)</f>
        <v>43.8</v>
      </c>
      <c r="BW169" s="304" t="s">
        <v>6</v>
      </c>
      <c r="BX169" s="303"/>
      <c r="CH169" s="1"/>
      <c r="CO169" s="1"/>
      <c r="CV169" s="160"/>
      <c r="DC169" s="1"/>
      <c r="DJ169" s="1"/>
      <c r="DQ169" s="1"/>
      <c r="DX169" s="1"/>
      <c r="EE169" s="1"/>
    </row>
    <row r="170" spans="2:135" x14ac:dyDescent="0.25">
      <c r="CH170" s="1"/>
      <c r="CO170" s="1"/>
      <c r="CV170" s="160"/>
      <c r="DC170" s="1"/>
      <c r="DJ170" s="1"/>
      <c r="DQ170" s="1"/>
      <c r="DX170" s="1"/>
      <c r="EE170" s="1"/>
    </row>
    <row r="171" spans="2:135" x14ac:dyDescent="0.25">
      <c r="B171" s="199" t="s">
        <v>401</v>
      </c>
      <c r="I171" s="199" t="s">
        <v>401</v>
      </c>
      <c r="P171" s="199" t="s">
        <v>401</v>
      </c>
      <c r="W171" s="199" t="s">
        <v>401</v>
      </c>
      <c r="AD171" s="199" t="s">
        <v>401</v>
      </c>
      <c r="AK171" s="199" t="s">
        <v>401</v>
      </c>
      <c r="AR171" s="199" t="s">
        <v>401</v>
      </c>
      <c r="AY171" s="199" t="s">
        <v>401</v>
      </c>
      <c r="BF171" s="199" t="s">
        <v>401</v>
      </c>
      <c r="BM171" s="199" t="s">
        <v>401</v>
      </c>
      <c r="BT171" s="199" t="s">
        <v>401</v>
      </c>
      <c r="CH171" s="1"/>
      <c r="CO171" s="1"/>
      <c r="CV171" s="160"/>
      <c r="DC171" s="1"/>
      <c r="DJ171" s="1"/>
      <c r="DQ171" s="1"/>
      <c r="DX171" s="1"/>
      <c r="EE171" s="1"/>
    </row>
    <row r="172" spans="2:135" x14ac:dyDescent="0.25">
      <c r="B172" t="s">
        <v>426</v>
      </c>
      <c r="C172" s="10">
        <f>IF(D169&lt;$C$147,0,$C$144*D169^2+$C$145*D169+$C$146)</f>
        <v>54.50335766006971</v>
      </c>
      <c r="D172" t="s">
        <v>6</v>
      </c>
      <c r="I172" t="s">
        <v>426</v>
      </c>
      <c r="J172" s="10">
        <f t="shared" ref="J172" si="30">IF(K169&lt;$C$147,0,$C$144*K169^2+$C$145*K169+$C$146)</f>
        <v>23.793120858396449</v>
      </c>
      <c r="K172" t="s">
        <v>6</v>
      </c>
      <c r="P172" t="s">
        <v>426</v>
      </c>
      <c r="Q172" s="10">
        <f t="shared" ref="Q172" si="31">IF(R169&lt;$C$147,0,$C$144*R169^2+$C$145*R169+$C$146)</f>
        <v>11.482714067672752</v>
      </c>
      <c r="R172" t="s">
        <v>6</v>
      </c>
      <c r="W172" t="s">
        <v>426</v>
      </c>
      <c r="X172" s="10">
        <f t="shared" ref="X172" si="32">IF(Y169&lt;$C$147,0,$C$144*Y169^2+$C$145*Y169+$C$146)</f>
        <v>6.7045263656374701</v>
      </c>
      <c r="Y172" t="s">
        <v>6</v>
      </c>
      <c r="AD172" t="s">
        <v>426</v>
      </c>
      <c r="AE172" s="10">
        <f t="shared" ref="AE172" si="33">IF(AF169&lt;$C$147,0,$C$144*AF169^2+$C$145*AF169+$C$146)</f>
        <v>3.8195166240327829</v>
      </c>
      <c r="AF172" t="s">
        <v>6</v>
      </c>
      <c r="AK172" t="s">
        <v>426</v>
      </c>
      <c r="AL172" s="10">
        <f t="shared" ref="AL172" si="34">IF(AM169&lt;$C$147,0,$C$144*AM169^2+$C$145*AM169+$C$146)</f>
        <v>0</v>
      </c>
      <c r="AM172" t="s">
        <v>6</v>
      </c>
      <c r="AR172" t="s">
        <v>426</v>
      </c>
      <c r="AS172" s="10">
        <f t="shared" ref="AS172" si="35">IF(AT169&lt;$C$147,0,$C$144*AT169^2+$C$145*AT169+$C$146)</f>
        <v>0</v>
      </c>
      <c r="AT172" t="s">
        <v>6</v>
      </c>
      <c r="AY172" t="s">
        <v>426</v>
      </c>
      <c r="AZ172" s="10">
        <f t="shared" ref="AZ172" si="36">IF(BA169&lt;$C$147,0,$C$144*BA169^2+$C$145*BA169+$C$146)</f>
        <v>0</v>
      </c>
      <c r="BA172" t="s">
        <v>6</v>
      </c>
      <c r="BF172" t="s">
        <v>426</v>
      </c>
      <c r="BG172" s="10">
        <f t="shared" ref="BG172" si="37">IF(BH169&lt;$C$147,0,$C$144*BH169^2+$C$145*BH169+$C$146)</f>
        <v>0</v>
      </c>
      <c r="BH172" t="s">
        <v>6</v>
      </c>
      <c r="BM172" t="s">
        <v>426</v>
      </c>
      <c r="BN172" s="10">
        <f t="shared" ref="BN172" si="38">IF(BO169&lt;$C$147,0,$C$144*BO169^2+$C$145*BO169+$C$146)</f>
        <v>0</v>
      </c>
      <c r="BO172" t="s">
        <v>6</v>
      </c>
      <c r="BT172" t="s">
        <v>426</v>
      </c>
      <c r="BU172" s="10">
        <f t="shared" ref="BU172" si="39">IF(BV169&lt;$C$147,0,$C$144*BV169^2+$C$145*BV169+$C$146)</f>
        <v>0</v>
      </c>
      <c r="BV172" t="s">
        <v>6</v>
      </c>
      <c r="CH172" s="1"/>
      <c r="CO172" s="1"/>
      <c r="CV172" s="160"/>
      <c r="DC172" s="1"/>
      <c r="DJ172" s="1"/>
      <c r="DQ172" s="1"/>
      <c r="DX172" s="1"/>
      <c r="EE172" s="1"/>
    </row>
    <row r="173" spans="2:135" x14ac:dyDescent="0.25">
      <c r="B173" t="s">
        <v>585</v>
      </c>
      <c r="C173" s="10">
        <f>D169-C172</f>
        <v>219.85664233993032</v>
      </c>
      <c r="D173" t="s">
        <v>6</v>
      </c>
      <c r="I173" t="s">
        <v>427</v>
      </c>
      <c r="J173" s="10">
        <f t="shared" ref="J173" si="40">K169-J172</f>
        <v>184.52687914160356</v>
      </c>
      <c r="K173" t="s">
        <v>6</v>
      </c>
      <c r="P173" t="s">
        <v>427</v>
      </c>
      <c r="Q173" s="10">
        <f t="shared" ref="Q173" si="41">R169-Q172</f>
        <v>155.41728593232725</v>
      </c>
      <c r="R173" t="s">
        <v>6</v>
      </c>
      <c r="W173" t="s">
        <v>427</v>
      </c>
      <c r="X173" s="10">
        <f t="shared" ref="X173" si="42">Y169-X172</f>
        <v>135.57547363436254</v>
      </c>
      <c r="Y173" t="s">
        <v>6</v>
      </c>
      <c r="AD173" t="s">
        <v>427</v>
      </c>
      <c r="AE173" s="10">
        <f t="shared" ref="AE173" si="43">AF169-AE172</f>
        <v>113.84048337596722</v>
      </c>
      <c r="AF173" t="s">
        <v>6</v>
      </c>
      <c r="AK173" t="s">
        <v>427</v>
      </c>
      <c r="AL173" s="10">
        <f t="shared" ref="AL173" si="44">AM169-AL172</f>
        <v>100.86</v>
      </c>
      <c r="AM173" t="s">
        <v>6</v>
      </c>
      <c r="AR173" t="s">
        <v>427</v>
      </c>
      <c r="AS173" s="10">
        <f t="shared" ref="AS173" si="45">AT169-AS172</f>
        <v>84.06</v>
      </c>
      <c r="AT173" t="s">
        <v>6</v>
      </c>
      <c r="AY173" t="s">
        <v>427</v>
      </c>
      <c r="AZ173" s="10">
        <f t="shared" ref="AZ173" si="46">BA169-AZ172</f>
        <v>68.42</v>
      </c>
      <c r="BA173" t="s">
        <v>6</v>
      </c>
      <c r="BF173" t="s">
        <v>427</v>
      </c>
      <c r="BG173" s="10">
        <f t="shared" ref="BG173" si="47">BH169-BG172</f>
        <v>59.44</v>
      </c>
      <c r="BH173" t="s">
        <v>6</v>
      </c>
      <c r="BM173" t="s">
        <v>427</v>
      </c>
      <c r="BN173" s="10">
        <f t="shared" ref="BN173" si="48">BO169-BN172</f>
        <v>51.620000000000005</v>
      </c>
      <c r="BO173" t="s">
        <v>6</v>
      </c>
      <c r="BT173" t="s">
        <v>427</v>
      </c>
      <c r="BU173" s="10">
        <f t="shared" ref="BU173" si="49">BV169-BU172</f>
        <v>43.8</v>
      </c>
      <c r="BV173" t="s">
        <v>6</v>
      </c>
      <c r="CH173" s="1"/>
      <c r="CO173" s="1"/>
      <c r="CV173" s="160"/>
      <c r="DC173" s="1"/>
      <c r="DJ173" s="1"/>
      <c r="DQ173" s="1"/>
      <c r="DX173" s="1"/>
      <c r="EE173" s="1"/>
    </row>
    <row r="174" spans="2:135" x14ac:dyDescent="0.25">
      <c r="B174" t="s">
        <v>586</v>
      </c>
      <c r="C174" s="10">
        <f>C173*(SQRT($C$35/30))</f>
        <v>253.86858327617207</v>
      </c>
      <c r="D174" t="s">
        <v>6</v>
      </c>
      <c r="I174" t="s">
        <v>586</v>
      </c>
      <c r="J174" s="10">
        <f>J173*(SQRT($C$35/30))</f>
        <v>213.0732866902527</v>
      </c>
      <c r="P174" t="s">
        <v>586</v>
      </c>
      <c r="Q174" s="10">
        <f>Q173*(SQRT($C$35/30))</f>
        <v>179.46042373950033</v>
      </c>
      <c r="W174" t="s">
        <v>586</v>
      </c>
      <c r="X174" s="10">
        <f>X173*(SQRT($C$35/30))</f>
        <v>156.54907239662043</v>
      </c>
      <c r="AD174" t="s">
        <v>586</v>
      </c>
      <c r="AE174" s="10">
        <f>AE173*(SQRT($C$35/30))</f>
        <v>131.45166744358357</v>
      </c>
      <c r="AK174" t="s">
        <v>586</v>
      </c>
      <c r="AL174" s="10">
        <f>AL173*(SQRT($C$35/30))</f>
        <v>116.4630963009313</v>
      </c>
      <c r="AR174" t="s">
        <v>586</v>
      </c>
      <c r="AS174" s="10">
        <f>AS173*(SQRT($C$35/30))</f>
        <v>97.064127256159878</v>
      </c>
      <c r="AY174" t="s">
        <v>586</v>
      </c>
      <c r="AZ174" s="10">
        <f>AZ173*(SQRT($C$35/30))</f>
        <v>79.00461083590838</v>
      </c>
      <c r="BF174" t="s">
        <v>586</v>
      </c>
      <c r="BG174" s="10">
        <f>BG173*(SQRT($C$35/30))</f>
        <v>68.63540000126271</v>
      </c>
      <c r="BM174" t="s">
        <v>586</v>
      </c>
      <c r="BN174" s="10">
        <f>BN173*(SQRT($C$35/30))</f>
        <v>59.605641791136968</v>
      </c>
      <c r="BT174" t="s">
        <v>586</v>
      </c>
      <c r="BU174" s="10">
        <f>BU173*(SQRT($C$35/30))</f>
        <v>50.575883581011212</v>
      </c>
      <c r="CH174" s="1"/>
      <c r="CO174" s="1"/>
      <c r="CV174" s="160"/>
      <c r="DC174" s="1"/>
      <c r="DJ174" s="1"/>
      <c r="DQ174" s="1"/>
      <c r="DX174" s="1"/>
      <c r="EE174" s="1"/>
    </row>
    <row r="175" spans="2:135" x14ac:dyDescent="0.25">
      <c r="B175" t="s">
        <v>411</v>
      </c>
      <c r="C175">
        <v>30</v>
      </c>
      <c r="D175" t="s">
        <v>8</v>
      </c>
      <c r="I175" t="s">
        <v>411</v>
      </c>
      <c r="J175">
        <v>30</v>
      </c>
      <c r="K175" t="s">
        <v>8</v>
      </c>
      <c r="P175" t="s">
        <v>411</v>
      </c>
      <c r="Q175">
        <v>30</v>
      </c>
      <c r="R175" t="s">
        <v>8</v>
      </c>
      <c r="W175" t="s">
        <v>411</v>
      </c>
      <c r="X175">
        <v>30</v>
      </c>
      <c r="Y175" t="s">
        <v>8</v>
      </c>
      <c r="AD175" t="s">
        <v>411</v>
      </c>
      <c r="AE175">
        <v>30</v>
      </c>
      <c r="AF175" t="s">
        <v>8</v>
      </c>
      <c r="AK175" t="s">
        <v>411</v>
      </c>
      <c r="AL175">
        <v>30</v>
      </c>
      <c r="AM175" t="s">
        <v>8</v>
      </c>
      <c r="AR175" t="s">
        <v>411</v>
      </c>
      <c r="AS175">
        <v>30</v>
      </c>
      <c r="AT175" t="s">
        <v>8</v>
      </c>
      <c r="AY175" t="s">
        <v>411</v>
      </c>
      <c r="AZ175">
        <v>30</v>
      </c>
      <c r="BA175" t="s">
        <v>8</v>
      </c>
      <c r="BF175" t="s">
        <v>411</v>
      </c>
      <c r="BG175">
        <v>30</v>
      </c>
      <c r="BH175" t="s">
        <v>8</v>
      </c>
      <c r="BM175" t="s">
        <v>411</v>
      </c>
      <c r="BN175">
        <v>30</v>
      </c>
      <c r="BO175" t="s">
        <v>8</v>
      </c>
      <c r="BT175" t="s">
        <v>411</v>
      </c>
      <c r="BU175">
        <v>30</v>
      </c>
      <c r="BV175" t="s">
        <v>8</v>
      </c>
      <c r="CV175" s="157"/>
    </row>
    <row r="176" spans="2:135" x14ac:dyDescent="0.25">
      <c r="B176" t="s">
        <v>588</v>
      </c>
      <c r="C176" s="10">
        <f>C173*0.1</f>
        <v>21.985664233993035</v>
      </c>
      <c r="D176" t="s">
        <v>6</v>
      </c>
      <c r="I176" t="s">
        <v>588</v>
      </c>
      <c r="J176" s="10">
        <f t="shared" ref="J176" si="50">J173*0.1</f>
        <v>18.452687914160357</v>
      </c>
      <c r="K176" t="s">
        <v>6</v>
      </c>
      <c r="P176" t="s">
        <v>588</v>
      </c>
      <c r="Q176" s="10">
        <f t="shared" ref="Q176" si="51">Q173*0.1</f>
        <v>15.541728593232726</v>
      </c>
      <c r="R176" t="s">
        <v>6</v>
      </c>
      <c r="W176" t="s">
        <v>588</v>
      </c>
      <c r="X176" s="10">
        <f t="shared" ref="X176" si="52">X173*0.1</f>
        <v>13.557547363436255</v>
      </c>
      <c r="Y176" t="s">
        <v>6</v>
      </c>
      <c r="AD176" t="s">
        <v>588</v>
      </c>
      <c r="AE176" s="10">
        <f t="shared" ref="AE176" si="53">AE173*0.1</f>
        <v>11.384048337596724</v>
      </c>
      <c r="AF176" t="s">
        <v>6</v>
      </c>
      <c r="AK176" t="s">
        <v>588</v>
      </c>
      <c r="AL176" s="10">
        <f t="shared" ref="AL176" si="54">AL173*0.1</f>
        <v>10.086</v>
      </c>
      <c r="AM176" t="s">
        <v>6</v>
      </c>
      <c r="AR176" t="s">
        <v>588</v>
      </c>
      <c r="AS176" s="10">
        <f t="shared" ref="AS176" si="55">AS173*0.1</f>
        <v>8.4060000000000006</v>
      </c>
      <c r="AT176" t="s">
        <v>6</v>
      </c>
      <c r="AY176" t="s">
        <v>588</v>
      </c>
      <c r="AZ176" s="10">
        <f t="shared" ref="AZ176" si="56">AZ173*0.1</f>
        <v>6.8420000000000005</v>
      </c>
      <c r="BA176" t="s">
        <v>6</v>
      </c>
      <c r="BF176" t="s">
        <v>588</v>
      </c>
      <c r="BG176" s="10">
        <f t="shared" ref="BG176" si="57">BG173*0.1</f>
        <v>5.944</v>
      </c>
      <c r="BH176" t="s">
        <v>6</v>
      </c>
      <c r="BM176" t="s">
        <v>588</v>
      </c>
      <c r="BN176" s="10">
        <f t="shared" ref="BN176" si="58">BN173*0.1</f>
        <v>5.1620000000000008</v>
      </c>
      <c r="BO176" t="s">
        <v>6</v>
      </c>
      <c r="BT176" t="s">
        <v>588</v>
      </c>
      <c r="BU176" s="10">
        <f t="shared" ref="BU176" si="59">BU173*0.1</f>
        <v>4.38</v>
      </c>
      <c r="BV176" t="s">
        <v>6</v>
      </c>
    </row>
    <row r="178" spans="2:136" x14ac:dyDescent="0.25">
      <c r="B178" s="199" t="s">
        <v>91</v>
      </c>
      <c r="I178" s="199" t="s">
        <v>91</v>
      </c>
      <c r="P178" s="199" t="s">
        <v>91</v>
      </c>
      <c r="W178" s="199" t="s">
        <v>91</v>
      </c>
      <c r="AD178" s="199" t="s">
        <v>91</v>
      </c>
      <c r="AK178" s="199" t="s">
        <v>91</v>
      </c>
      <c r="AR178" s="199" t="s">
        <v>91</v>
      </c>
      <c r="AY178" s="199" t="s">
        <v>91</v>
      </c>
      <c r="BF178" s="199" t="s">
        <v>91</v>
      </c>
      <c r="BM178" s="199" t="s">
        <v>91</v>
      </c>
      <c r="BT178" s="199" t="s">
        <v>91</v>
      </c>
      <c r="CV178" s="157"/>
    </row>
    <row r="179" spans="2:136" x14ac:dyDescent="0.25">
      <c r="B179" t="s">
        <v>957</v>
      </c>
      <c r="C179" s="109">
        <f>($C$14/C173)^2*C175</f>
        <v>6.2064330149449027</v>
      </c>
      <c r="D179" t="s">
        <v>8</v>
      </c>
      <c r="I179" t="s">
        <v>957</v>
      </c>
      <c r="J179" s="109">
        <f t="shared" ref="J179" si="60">($C$14/J173)^2*J175</f>
        <v>8.8105289254853467</v>
      </c>
      <c r="K179" t="s">
        <v>8</v>
      </c>
      <c r="P179" t="s">
        <v>957</v>
      </c>
      <c r="Q179" s="109">
        <f t="shared" ref="Q179" si="61">($C$14/Q173)^2*Q175</f>
        <v>12.42002910589072</v>
      </c>
      <c r="R179" t="s">
        <v>8</v>
      </c>
      <c r="W179" t="s">
        <v>957</v>
      </c>
      <c r="X179" s="109">
        <f t="shared" ref="X179" si="62">($C$14/X173)^2*X175</f>
        <v>16.321459589216033</v>
      </c>
      <c r="Y179" t="s">
        <v>8</v>
      </c>
      <c r="AD179" t="s">
        <v>957</v>
      </c>
      <c r="AE179" s="109">
        <f t="shared" ref="AE179" si="63">($C$14/AE173)^2*AE175</f>
        <v>23.148763206367789</v>
      </c>
      <c r="AF179" t="s">
        <v>8</v>
      </c>
      <c r="AK179" t="s">
        <v>957</v>
      </c>
      <c r="AL179" s="109">
        <f t="shared" ref="AL179" si="64">($C$14/AL173)^2*AL175</f>
        <v>29.490580885408686</v>
      </c>
      <c r="AM179" t="s">
        <v>8</v>
      </c>
      <c r="AR179" t="s">
        <v>957</v>
      </c>
      <c r="AS179" s="109">
        <f t="shared" ref="AS179" si="65">($C$14/AS173)^2*AS175</f>
        <v>42.456333236702726</v>
      </c>
      <c r="AT179" t="s">
        <v>8</v>
      </c>
      <c r="AY179" t="s">
        <v>957</v>
      </c>
      <c r="AZ179" s="109">
        <f t="shared" ref="AZ179" si="66">($C$14/AZ173)^2*AZ175</f>
        <v>64.084812061889522</v>
      </c>
      <c r="BA179" t="s">
        <v>8</v>
      </c>
      <c r="BF179" t="s">
        <v>957</v>
      </c>
      <c r="BG179" s="109">
        <f t="shared" ref="BG179" si="67">($C$14/BG173)^2*BG175</f>
        <v>84.910940876625077</v>
      </c>
      <c r="BH179" t="s">
        <v>8</v>
      </c>
      <c r="BM179" t="s">
        <v>957</v>
      </c>
      <c r="BN179" s="109">
        <f t="shared" ref="BN179" si="68">($C$14/BN173)^2*BN175</f>
        <v>112.58622415977274</v>
      </c>
      <c r="BO179" t="s">
        <v>8</v>
      </c>
      <c r="BT179" t="s">
        <v>957</v>
      </c>
      <c r="BU179" s="109">
        <f t="shared" ref="BU179" si="69">($C$14/BU173)^2*BU175</f>
        <v>156.37705635829113</v>
      </c>
      <c r="BV179" t="s">
        <v>8</v>
      </c>
      <c r="CI179" s="109"/>
      <c r="CP179" s="109"/>
      <c r="CV179" s="157"/>
      <c r="CW179" s="109"/>
      <c r="DD179" s="109"/>
      <c r="DK179" s="109"/>
      <c r="DR179" s="109"/>
      <c r="DY179" s="109"/>
      <c r="EF179" s="109"/>
    </row>
    <row r="180" spans="2:136" x14ac:dyDescent="0.25">
      <c r="B180" t="s">
        <v>24</v>
      </c>
      <c r="C180" s="10">
        <f>(SQRT($C$35/(C175))*C173)</f>
        <v>253.86858327617207</v>
      </c>
      <c r="D180" t="s">
        <v>6</v>
      </c>
      <c r="I180" t="s">
        <v>24</v>
      </c>
      <c r="J180" s="10">
        <f t="shared" ref="J180" si="70">(SQRT($C$35/(J175))*J173)</f>
        <v>213.0732866902527</v>
      </c>
      <c r="K180" t="s">
        <v>6</v>
      </c>
      <c r="P180" t="s">
        <v>24</v>
      </c>
      <c r="Q180" s="10">
        <f t="shared" ref="Q180" si="71">(SQRT($C$35/(Q175))*Q173)</f>
        <v>179.46042373950033</v>
      </c>
      <c r="R180" t="s">
        <v>6</v>
      </c>
      <c r="W180" t="s">
        <v>24</v>
      </c>
      <c r="X180" s="10">
        <f t="shared" ref="X180" si="72">(SQRT($C$35/(X175))*X173)</f>
        <v>156.54907239662043</v>
      </c>
      <c r="Y180" t="s">
        <v>6</v>
      </c>
      <c r="AD180" t="s">
        <v>24</v>
      </c>
      <c r="AE180" s="10">
        <f t="shared" ref="AE180" si="73">(SQRT($C$35/(AE175))*AE173)</f>
        <v>131.45166744358357</v>
      </c>
      <c r="AF180" t="s">
        <v>6</v>
      </c>
      <c r="AK180" t="s">
        <v>24</v>
      </c>
      <c r="AL180" s="10">
        <f t="shared" ref="AL180" si="74">(SQRT($C$35/(AL175))*AL173)</f>
        <v>116.4630963009313</v>
      </c>
      <c r="AM180" t="s">
        <v>6</v>
      </c>
      <c r="AR180" t="s">
        <v>24</v>
      </c>
      <c r="AS180" s="10">
        <f t="shared" ref="AS180" si="75">(SQRT($C$35/(AS175))*AS173)</f>
        <v>97.064127256159878</v>
      </c>
      <c r="AT180" t="s">
        <v>6</v>
      </c>
      <c r="AY180" t="s">
        <v>24</v>
      </c>
      <c r="AZ180" s="10">
        <f t="shared" ref="AZ180" si="76">(SQRT($C$35/(AZ175))*AZ173)</f>
        <v>79.00461083590838</v>
      </c>
      <c r="BA180" t="s">
        <v>6</v>
      </c>
      <c r="BF180" t="s">
        <v>24</v>
      </c>
      <c r="BG180" s="10">
        <f t="shared" ref="BG180" si="77">(SQRT($C$35/(BG175))*BG173)</f>
        <v>68.63540000126271</v>
      </c>
      <c r="BH180" t="s">
        <v>6</v>
      </c>
      <c r="BM180" t="s">
        <v>24</v>
      </c>
      <c r="BN180" s="10">
        <f t="shared" ref="BN180" si="78">(SQRT($C$35/(BN175))*BN173)</f>
        <v>59.605641791136968</v>
      </c>
      <c r="BO180" t="s">
        <v>6</v>
      </c>
      <c r="BT180" t="s">
        <v>24</v>
      </c>
      <c r="BU180" s="10">
        <f t="shared" ref="BU180" si="79">(SQRT($C$35/(BU175))*BU173)</f>
        <v>50.575883581011212</v>
      </c>
      <c r="BV180" t="s">
        <v>6</v>
      </c>
      <c r="CV180" s="157"/>
    </row>
    <row r="181" spans="2:136" x14ac:dyDescent="0.25">
      <c r="B181" t="s">
        <v>589</v>
      </c>
      <c r="C181" s="10">
        <f>MAX(C176,10)</f>
        <v>21.985664233993035</v>
      </c>
      <c r="D181" t="s">
        <v>6</v>
      </c>
      <c r="I181" t="s">
        <v>589</v>
      </c>
      <c r="J181" s="10">
        <f>MAX(J176,10)</f>
        <v>18.452687914160357</v>
      </c>
      <c r="K181" t="s">
        <v>6</v>
      </c>
      <c r="P181" t="s">
        <v>589</v>
      </c>
      <c r="Q181" s="10">
        <f>MAX(Q176,10)</f>
        <v>15.541728593232726</v>
      </c>
      <c r="R181" t="s">
        <v>6</v>
      </c>
      <c r="W181" t="s">
        <v>589</v>
      </c>
      <c r="X181" s="10">
        <f>MAX(X176,10)</f>
        <v>13.557547363436255</v>
      </c>
      <c r="Y181" t="s">
        <v>6</v>
      </c>
      <c r="AD181" t="s">
        <v>589</v>
      </c>
      <c r="AE181" s="10">
        <f>MAX(AE176,10)</f>
        <v>11.384048337596724</v>
      </c>
      <c r="AF181" t="s">
        <v>6</v>
      </c>
      <c r="AK181" t="s">
        <v>589</v>
      </c>
      <c r="AL181" s="10">
        <f>MAX(AL176,10)</f>
        <v>10.086</v>
      </c>
      <c r="AM181" t="s">
        <v>6</v>
      </c>
      <c r="AR181" t="s">
        <v>589</v>
      </c>
      <c r="AS181" s="10">
        <f>MAX(AS176,10)</f>
        <v>10</v>
      </c>
      <c r="AT181" t="s">
        <v>6</v>
      </c>
      <c r="AY181" t="s">
        <v>589</v>
      </c>
      <c r="AZ181" s="10">
        <f>MAX(AZ176,10)</f>
        <v>10</v>
      </c>
      <c r="BA181" t="s">
        <v>6</v>
      </c>
      <c r="BF181" t="s">
        <v>589</v>
      </c>
      <c r="BG181" s="10">
        <f>MAX(BG176,10)</f>
        <v>10</v>
      </c>
      <c r="BH181" t="s">
        <v>6</v>
      </c>
      <c r="BM181" t="s">
        <v>589</v>
      </c>
      <c r="BN181" s="10">
        <f>MAX(BN176,10)</f>
        <v>10</v>
      </c>
      <c r="BO181" t="s">
        <v>6</v>
      </c>
      <c r="BT181" t="s">
        <v>589</v>
      </c>
      <c r="BU181" s="10">
        <f>MAX(BU176,10)</f>
        <v>10</v>
      </c>
      <c r="BV181" t="s">
        <v>6</v>
      </c>
      <c r="CV181" s="157"/>
    </row>
    <row r="182" spans="2:136" x14ac:dyDescent="0.25">
      <c r="B182" t="s">
        <v>56</v>
      </c>
      <c r="C182" s="305">
        <f>C181/$C$14</f>
        <v>0.21985664233993035</v>
      </c>
      <c r="I182" t="s">
        <v>56</v>
      </c>
      <c r="J182" s="305">
        <f>J181/$C$14</f>
        <v>0.18452687914160357</v>
      </c>
      <c r="P182" t="s">
        <v>56</v>
      </c>
      <c r="Q182" s="305">
        <f t="shared" ref="Q182" si="80">Q181/$C$14</f>
        <v>0.15541728593232726</v>
      </c>
      <c r="W182" t="s">
        <v>56</v>
      </c>
      <c r="X182" s="305">
        <f t="shared" ref="X182" si="81">X181/$C$14</f>
        <v>0.13557547363436254</v>
      </c>
      <c r="AD182" t="s">
        <v>56</v>
      </c>
      <c r="AE182" s="305">
        <f t="shared" ref="AE182" si="82">AE181/$C$14</f>
        <v>0.11384048337596724</v>
      </c>
      <c r="AK182" t="s">
        <v>56</v>
      </c>
      <c r="AL182" s="305">
        <f t="shared" ref="AL182" si="83">AL181/$C$14</f>
        <v>0.10086000000000001</v>
      </c>
      <c r="AR182" t="s">
        <v>56</v>
      </c>
      <c r="AS182" s="305">
        <f t="shared" ref="AS182" si="84">AS181/$C$14</f>
        <v>0.1</v>
      </c>
      <c r="AY182" t="s">
        <v>56</v>
      </c>
      <c r="AZ182" s="305">
        <f t="shared" ref="AZ182" si="85">AZ181/$C$14</f>
        <v>0.1</v>
      </c>
      <c r="BF182" t="s">
        <v>56</v>
      </c>
      <c r="BG182" s="305">
        <f t="shared" ref="BG182" si="86">BG181/$C$14</f>
        <v>0.1</v>
      </c>
      <c r="BM182" t="s">
        <v>56</v>
      </c>
      <c r="BN182" s="305">
        <f t="shared" ref="BN182" si="87">BN181/$C$14</f>
        <v>0.1</v>
      </c>
      <c r="BT182" t="s">
        <v>56</v>
      </c>
      <c r="BU182" s="305">
        <f t="shared" ref="BU182" si="88">BU181/$C$14</f>
        <v>0.1</v>
      </c>
      <c r="CV182" s="157"/>
    </row>
    <row r="183" spans="2:136" x14ac:dyDescent="0.25">
      <c r="AY183" s="157"/>
      <c r="CV183" s="157"/>
    </row>
    <row r="184" spans="2:136" x14ac:dyDescent="0.25">
      <c r="B184" s="199" t="s">
        <v>352</v>
      </c>
      <c r="I184" s="199" t="s">
        <v>352</v>
      </c>
      <c r="P184" s="199" t="s">
        <v>352</v>
      </c>
      <c r="W184" s="199" t="s">
        <v>352</v>
      </c>
      <c r="AD184" s="199" t="s">
        <v>352</v>
      </c>
      <c r="AK184" s="199" t="s">
        <v>352</v>
      </c>
      <c r="AR184" s="199" t="s">
        <v>352</v>
      </c>
      <c r="AY184" s="199" t="s">
        <v>352</v>
      </c>
      <c r="BF184" s="199" t="s">
        <v>352</v>
      </c>
      <c r="BM184" s="199" t="s">
        <v>352</v>
      </c>
      <c r="BT184" s="199" t="s">
        <v>352</v>
      </c>
      <c r="CV184" s="157"/>
    </row>
    <row r="185" spans="2:136" x14ac:dyDescent="0.25">
      <c r="B185" t="s">
        <v>582</v>
      </c>
      <c r="CV185" s="157"/>
    </row>
    <row r="186" spans="2:136" x14ac:dyDescent="0.25">
      <c r="B186" t="s">
        <v>577</v>
      </c>
      <c r="C186" t="s">
        <v>401</v>
      </c>
      <c r="I186" t="s">
        <v>577</v>
      </c>
      <c r="J186" t="s">
        <v>401</v>
      </c>
      <c r="P186" t="s">
        <v>577</v>
      </c>
      <c r="Q186" t="s">
        <v>401</v>
      </c>
      <c r="W186" t="s">
        <v>577</v>
      </c>
      <c r="X186" t="s">
        <v>401</v>
      </c>
      <c r="AD186" t="s">
        <v>577</v>
      </c>
      <c r="AE186" t="s">
        <v>401</v>
      </c>
      <c r="AK186" t="s">
        <v>577</v>
      </c>
      <c r="AL186" t="s">
        <v>401</v>
      </c>
      <c r="AR186" t="s">
        <v>577</v>
      </c>
      <c r="AS186" t="s">
        <v>401</v>
      </c>
      <c r="AY186" t="s">
        <v>577</v>
      </c>
      <c r="AZ186" t="s">
        <v>401</v>
      </c>
      <c r="BF186" t="s">
        <v>577</v>
      </c>
      <c r="BG186" t="s">
        <v>401</v>
      </c>
      <c r="BM186" t="s">
        <v>577</v>
      </c>
      <c r="BN186" t="s">
        <v>401</v>
      </c>
      <c r="BT186" t="s">
        <v>577</v>
      </c>
      <c r="BU186" t="s">
        <v>401</v>
      </c>
      <c r="CV186" s="157"/>
    </row>
    <row r="187" spans="2:136" x14ac:dyDescent="0.25">
      <c r="B187" s="7">
        <v>100</v>
      </c>
      <c r="C187">
        <v>219.8</v>
      </c>
      <c r="I187" s="7">
        <v>100</v>
      </c>
      <c r="J187">
        <v>184.6</v>
      </c>
      <c r="P187" s="7">
        <v>100</v>
      </c>
      <c r="Q187">
        <v>155.19999999999999</v>
      </c>
      <c r="W187" s="7">
        <v>100</v>
      </c>
      <c r="X187">
        <v>135.69999999999999</v>
      </c>
      <c r="AD187" s="7">
        <v>100</v>
      </c>
      <c r="AE187">
        <v>113.9</v>
      </c>
      <c r="AK187" s="7">
        <v>100</v>
      </c>
      <c r="AL187">
        <v>100.5</v>
      </c>
      <c r="AR187" s="7">
        <v>100</v>
      </c>
      <c r="AS187">
        <v>84.6</v>
      </c>
      <c r="AY187" s="7">
        <v>100</v>
      </c>
      <c r="AZ187">
        <v>68.400000000000006</v>
      </c>
      <c r="BF187" s="7">
        <v>100</v>
      </c>
      <c r="BG187">
        <v>59.6</v>
      </c>
      <c r="BM187" s="7">
        <v>100</v>
      </c>
      <c r="BN187">
        <v>50.8</v>
      </c>
      <c r="BT187" s="7">
        <v>100</v>
      </c>
      <c r="BU187">
        <v>44.6</v>
      </c>
      <c r="CV187" s="157"/>
    </row>
    <row r="188" spans="2:136" x14ac:dyDescent="0.25">
      <c r="B188" s="7">
        <v>80</v>
      </c>
      <c r="C188">
        <v>206.5</v>
      </c>
      <c r="I188" s="7">
        <v>80</v>
      </c>
      <c r="J188">
        <v>164.7</v>
      </c>
      <c r="P188" s="7">
        <v>80</v>
      </c>
      <c r="Q188">
        <v>138.19999999999999</v>
      </c>
      <c r="W188" s="7">
        <v>80</v>
      </c>
      <c r="X188">
        <v>119.3</v>
      </c>
      <c r="AD188" s="7">
        <v>80</v>
      </c>
      <c r="AE188">
        <v>99.5</v>
      </c>
      <c r="AK188" s="7">
        <v>80</v>
      </c>
      <c r="AL188">
        <v>88.7</v>
      </c>
      <c r="AR188" s="7">
        <v>80</v>
      </c>
      <c r="AS188">
        <v>74.099999999999994</v>
      </c>
      <c r="AY188" s="7">
        <v>80</v>
      </c>
      <c r="AZ188">
        <v>62.6</v>
      </c>
      <c r="BF188" s="7">
        <v>80</v>
      </c>
      <c r="BG188">
        <v>55.7</v>
      </c>
      <c r="BM188" s="7">
        <v>80</v>
      </c>
      <c r="BN188">
        <v>49.7</v>
      </c>
      <c r="BT188" s="7">
        <v>80</v>
      </c>
      <c r="BU188">
        <v>43.7</v>
      </c>
      <c r="CV188" s="157"/>
    </row>
    <row r="189" spans="2:136" x14ac:dyDescent="0.25">
      <c r="B189" s="7">
        <v>40</v>
      </c>
      <c r="C189">
        <v>130.5</v>
      </c>
      <c r="I189" s="7">
        <v>40</v>
      </c>
      <c r="J189">
        <v>102.1</v>
      </c>
      <c r="P189" s="7">
        <v>40</v>
      </c>
      <c r="Q189">
        <v>79.5</v>
      </c>
      <c r="W189" s="7">
        <v>40</v>
      </c>
      <c r="X189">
        <v>64.599999999999994</v>
      </c>
      <c r="AD189" s="7">
        <v>40</v>
      </c>
      <c r="AE189">
        <v>54.3</v>
      </c>
      <c r="AK189" s="7">
        <v>40</v>
      </c>
      <c r="AL189">
        <v>47.8</v>
      </c>
      <c r="AR189" s="7">
        <v>40</v>
      </c>
      <c r="AS189">
        <v>41.8</v>
      </c>
      <c r="AY189" s="7">
        <v>40</v>
      </c>
      <c r="AZ189">
        <v>36.5</v>
      </c>
      <c r="BF189" s="7">
        <v>40</v>
      </c>
      <c r="BG189">
        <v>33.799999999999997</v>
      </c>
      <c r="BM189" s="7">
        <v>40</v>
      </c>
      <c r="BN189">
        <v>31.6</v>
      </c>
      <c r="BT189" s="7">
        <v>40</v>
      </c>
      <c r="BU189">
        <v>29.6</v>
      </c>
      <c r="CV189" s="157"/>
    </row>
    <row r="190" spans="2:136" x14ac:dyDescent="0.25">
      <c r="B190" s="10">
        <v>20</v>
      </c>
      <c r="C190">
        <v>62.7</v>
      </c>
      <c r="I190" s="10">
        <v>20</v>
      </c>
      <c r="J190">
        <v>48.4</v>
      </c>
      <c r="P190" s="10">
        <v>20</v>
      </c>
      <c r="Q190">
        <v>39.700000000000003</v>
      </c>
      <c r="W190" s="10">
        <v>20</v>
      </c>
      <c r="X190">
        <v>34.200000000000003</v>
      </c>
      <c r="AD190" s="10">
        <v>20</v>
      </c>
      <c r="AE190">
        <v>31.6</v>
      </c>
      <c r="AK190" s="10">
        <v>20</v>
      </c>
      <c r="AL190">
        <v>23.6</v>
      </c>
      <c r="AR190" s="10">
        <v>20</v>
      </c>
      <c r="AS190">
        <v>22.4</v>
      </c>
      <c r="AY190" s="10">
        <v>20</v>
      </c>
      <c r="AZ190">
        <v>18.2</v>
      </c>
      <c r="BF190" s="10">
        <v>20</v>
      </c>
      <c r="BG190">
        <v>16.100000000000001</v>
      </c>
      <c r="BM190" s="10">
        <v>20</v>
      </c>
      <c r="BN190">
        <v>14.3</v>
      </c>
      <c r="BT190" s="10">
        <v>20</v>
      </c>
      <c r="BU190">
        <v>12.4</v>
      </c>
      <c r="CV190" s="157"/>
    </row>
    <row r="191" spans="2:136" x14ac:dyDescent="0.25">
      <c r="B191" t="s">
        <v>576</v>
      </c>
      <c r="I191" t="s">
        <v>576</v>
      </c>
      <c r="P191" t="s">
        <v>576</v>
      </c>
      <c r="W191" t="s">
        <v>576</v>
      </c>
      <c r="AD191" t="s">
        <v>576</v>
      </c>
      <c r="AK191" t="s">
        <v>576</v>
      </c>
      <c r="AR191" t="s">
        <v>576</v>
      </c>
      <c r="AY191" t="s">
        <v>576</v>
      </c>
      <c r="BF191" t="s">
        <v>576</v>
      </c>
      <c r="BM191" t="s">
        <v>576</v>
      </c>
      <c r="BT191" t="s">
        <v>576</v>
      </c>
      <c r="CV191" s="157"/>
    </row>
    <row r="192" spans="2:136" x14ac:dyDescent="0.25">
      <c r="B192" s="10">
        <f>B187</f>
        <v>100</v>
      </c>
      <c r="C192">
        <f>C187*SQRT($C$35/30)</f>
        <v>253.8031783357595</v>
      </c>
      <c r="I192" s="10">
        <f t="shared" ref="I192" si="89">I187</f>
        <v>100</v>
      </c>
      <c r="J192">
        <f>J187*SQRT($C$35/30)</f>
        <v>213.15771938480981</v>
      </c>
      <c r="P192" s="10">
        <f t="shared" ref="P192" si="90">P187</f>
        <v>100</v>
      </c>
      <c r="Q192">
        <f>Q187*SQRT($C$35/30)</f>
        <v>179.2095235564598</v>
      </c>
      <c r="W192" s="10">
        <f t="shared" ref="W192" si="91">W187</f>
        <v>100</v>
      </c>
      <c r="X192">
        <f>X187*SQRT($C$35/30)</f>
        <v>156.6928630580644</v>
      </c>
      <c r="AD192" s="10">
        <f t="shared" ref="AD192" si="92">AD187</f>
        <v>100</v>
      </c>
      <c r="AE192">
        <f>AE187*SQRT($C$35/30)</f>
        <v>131.52039132139674</v>
      </c>
      <c r="AK192" s="10">
        <f t="shared" ref="AK192" si="93">AK187</f>
        <v>100</v>
      </c>
      <c r="AL192">
        <f>AL187*SQRT($C$35/30)</f>
        <v>116.04740410711477</v>
      </c>
      <c r="AR192" s="10">
        <f t="shared" ref="AR192" si="94">AR187</f>
        <v>100</v>
      </c>
      <c r="AS192">
        <f>AS187*SQRT($C$35/30)</f>
        <v>97.687665546884674</v>
      </c>
      <c r="AY192" s="10">
        <f t="shared" ref="AY192" si="95">AY187</f>
        <v>100</v>
      </c>
      <c r="AZ192">
        <f>AZ187*SQRT($C$35/30)</f>
        <v>78.981516825140801</v>
      </c>
      <c r="BF192" s="10">
        <f t="shared" ref="BF192" si="96">BF187</f>
        <v>100</v>
      </c>
      <c r="BG192">
        <f>BG187*SQRT($C$35/30)</f>
        <v>68.820152087403386</v>
      </c>
      <c r="BM192" s="10">
        <f t="shared" ref="BM192" si="97">BM187</f>
        <v>100</v>
      </c>
      <c r="BN192">
        <f>BN187*SQRT($C$35/30)</f>
        <v>58.658787349665971</v>
      </c>
      <c r="BT192" s="10">
        <f t="shared" ref="BT192" si="98">BT187</f>
        <v>100</v>
      </c>
      <c r="BU192">
        <f>BU187*SQRT($C$35/30)</f>
        <v>51.499644011714615</v>
      </c>
      <c r="CV192" s="157"/>
    </row>
    <row r="193" spans="2:100" x14ac:dyDescent="0.25">
      <c r="B193" s="10">
        <f>B188</f>
        <v>80</v>
      </c>
      <c r="C193">
        <f>C188*SQRT($C$35/30)</f>
        <v>238.44566117531542</v>
      </c>
      <c r="I193" s="10">
        <f t="shared" ref="I193:AK195" si="99">I188</f>
        <v>80</v>
      </c>
      <c r="J193">
        <f>J188*SQRT($C$35/30)</f>
        <v>190.17917867106272</v>
      </c>
      <c r="P193" s="10">
        <f t="shared" ref="P193" si="100">P188</f>
        <v>80</v>
      </c>
      <c r="Q193">
        <f>Q188*SQRT($C$35/30)</f>
        <v>159.57961440401255</v>
      </c>
      <c r="W193" s="10">
        <f t="shared" ref="W193" si="101">W188</f>
        <v>80</v>
      </c>
      <c r="X193">
        <f>X188*SQRT($C$35/30)</f>
        <v>137.7557742286447</v>
      </c>
      <c r="AD193" s="10">
        <f t="shared" ref="AD193" si="102">AD188</f>
        <v>80</v>
      </c>
      <c r="AE193">
        <f>AE188*SQRT($C$35/30)</f>
        <v>114.89270356873553</v>
      </c>
      <c r="AK193" s="10">
        <f t="shared" ref="AK193" si="103">AK188</f>
        <v>80</v>
      </c>
      <c r="AL193">
        <f>AL188*SQRT($C$35/30)</f>
        <v>102.42193775423961</v>
      </c>
      <c r="AR193" s="10">
        <f t="shared" ref="AR193:BT195" si="104">AR188</f>
        <v>80</v>
      </c>
      <c r="AS193">
        <f>AS188*SQRT($C$35/30)</f>
        <v>85.563309893902527</v>
      </c>
      <c r="AY193" s="10">
        <f t="shared" ref="AY193" si="105">AY188</f>
        <v>80</v>
      </c>
      <c r="AZ193">
        <f>AZ188*SQRT($C$35/30)</f>
        <v>72.28425370254115</v>
      </c>
      <c r="BF193" s="10">
        <f t="shared" ref="BF193" si="106">BF188</f>
        <v>80</v>
      </c>
      <c r="BG193">
        <f>BG188*SQRT($C$35/30)</f>
        <v>64.316819987724315</v>
      </c>
      <c r="BM193" s="10">
        <f t="shared" ref="BM193" si="107">BM188</f>
        <v>80</v>
      </c>
      <c r="BN193">
        <f>BN188*SQRT($C$35/30)</f>
        <v>57.388616757448801</v>
      </c>
      <c r="BT193" s="10">
        <f t="shared" ref="BT193" si="108">BT188</f>
        <v>80</v>
      </c>
      <c r="BU193">
        <f>BU188*SQRT($C$35/30)</f>
        <v>50.460413527173294</v>
      </c>
      <c r="CV193" s="157"/>
    </row>
    <row r="194" spans="2:100" x14ac:dyDescent="0.25">
      <c r="B194" s="10">
        <f t="shared" ref="B194:B195" si="109">B189</f>
        <v>40</v>
      </c>
      <c r="C194">
        <f>C189*SQRT($C$35/30)</f>
        <v>150.68842025849233</v>
      </c>
      <c r="I194" s="10">
        <f t="shared" si="99"/>
        <v>40</v>
      </c>
      <c r="J194">
        <f>J189*SQRT($C$35/30)</f>
        <v>117.89492496852156</v>
      </c>
      <c r="P194" s="10">
        <f t="shared" si="99"/>
        <v>40</v>
      </c>
      <c r="Q194">
        <f>Q189*SQRT($C$35/30)</f>
        <v>91.798692801150494</v>
      </c>
      <c r="W194" s="10">
        <f t="shared" si="99"/>
        <v>40</v>
      </c>
      <c r="X194">
        <f>X189*SQRT($C$35/30)</f>
        <v>74.593654779299641</v>
      </c>
      <c r="AD194" s="10">
        <f t="shared" si="99"/>
        <v>40</v>
      </c>
      <c r="AE194">
        <f>AE189*SQRT($C$35/30)</f>
        <v>62.700239233993351</v>
      </c>
      <c r="AK194" s="10">
        <f t="shared" si="99"/>
        <v>40</v>
      </c>
      <c r="AL194">
        <f>AL189*SQRT($C$35/30)</f>
        <v>55.194685734528214</v>
      </c>
      <c r="AR194" s="10">
        <f t="shared" si="104"/>
        <v>40</v>
      </c>
      <c r="AS194">
        <f>AS189*SQRT($C$35/30)</f>
        <v>48.266482504252707</v>
      </c>
      <c r="AY194" s="10">
        <f t="shared" si="104"/>
        <v>40</v>
      </c>
      <c r="AZ194">
        <f>AZ189*SQRT($C$35/30)</f>
        <v>42.146569650842679</v>
      </c>
      <c r="BF194" s="10">
        <f t="shared" si="104"/>
        <v>40</v>
      </c>
      <c r="BG194">
        <f>BG189*SQRT($C$35/30)</f>
        <v>39.028878197218695</v>
      </c>
      <c r="BM194" s="10">
        <f t="shared" si="104"/>
        <v>40</v>
      </c>
      <c r="BN194">
        <f>BN189*SQRT($C$35/30)</f>
        <v>36.488537012784349</v>
      </c>
      <c r="BT194" s="10">
        <f t="shared" si="104"/>
        <v>40</v>
      </c>
      <c r="BU194">
        <f>BU189*SQRT($C$35/30)</f>
        <v>34.179135936025844</v>
      </c>
      <c r="CV194" s="157"/>
    </row>
    <row r="195" spans="2:100" x14ac:dyDescent="0.25">
      <c r="B195" s="10">
        <f t="shared" si="109"/>
        <v>20</v>
      </c>
      <c r="C195">
        <f>C190*SQRT($C$35/30)</f>
        <v>72.399723756379075</v>
      </c>
      <c r="I195" s="10">
        <f t="shared" si="99"/>
        <v>20</v>
      </c>
      <c r="J195">
        <f>J190*SQRT($C$35/30)</f>
        <v>55.887506057555768</v>
      </c>
      <c r="P195" s="10">
        <f t="shared" si="99"/>
        <v>20</v>
      </c>
      <c r="Q195">
        <f>Q190*SQRT($C$35/30)</f>
        <v>45.841611373656285</v>
      </c>
      <c r="W195" s="10">
        <f t="shared" si="99"/>
        <v>20</v>
      </c>
      <c r="X195">
        <f>X190*SQRT($C$35/30)</f>
        <v>39.490758412570401</v>
      </c>
      <c r="AD195" s="10">
        <f t="shared" si="99"/>
        <v>20</v>
      </c>
      <c r="AE195">
        <f>AE190*SQRT($C$35/30)</f>
        <v>36.488537012784349</v>
      </c>
      <c r="AK195" s="10">
        <f t="shared" si="99"/>
        <v>20</v>
      </c>
      <c r="AL195">
        <f>AL190*SQRT($C$35/30)</f>
        <v>27.250932705750337</v>
      </c>
      <c r="AR195" s="10">
        <f t="shared" si="104"/>
        <v>20</v>
      </c>
      <c r="AS195">
        <f>AS190*SQRT($C$35/30)</f>
        <v>25.865292059695232</v>
      </c>
      <c r="AY195" s="10">
        <f t="shared" si="104"/>
        <v>20</v>
      </c>
      <c r="AZ195">
        <f>AZ190*SQRT($C$35/30)</f>
        <v>21.015549798502377</v>
      </c>
      <c r="BF195" s="10">
        <f t="shared" si="104"/>
        <v>20</v>
      </c>
      <c r="BG195">
        <f>BG190*SQRT($C$35/30)</f>
        <v>18.590678667905951</v>
      </c>
      <c r="BM195" s="10">
        <f t="shared" si="104"/>
        <v>20</v>
      </c>
      <c r="BN195">
        <f>BN190*SQRT($C$35/30)</f>
        <v>16.512217698823296</v>
      </c>
      <c r="BT195" s="10">
        <f t="shared" si="104"/>
        <v>20</v>
      </c>
      <c r="BU195">
        <f>BU190*SQRT($C$35/30)</f>
        <v>14.318286675902719</v>
      </c>
      <c r="CV195" s="157"/>
    </row>
    <row r="196" spans="2:100" x14ac:dyDescent="0.25">
      <c r="B196" t="s">
        <v>438</v>
      </c>
      <c r="C196" t="s">
        <v>439</v>
      </c>
      <c r="D196" t="s">
        <v>96</v>
      </c>
      <c r="E196" s="161"/>
      <c r="I196" t="s">
        <v>438</v>
      </c>
      <c r="J196" t="s">
        <v>439</v>
      </c>
      <c r="K196" t="s">
        <v>96</v>
      </c>
      <c r="L196" s="161"/>
      <c r="P196" t="s">
        <v>438</v>
      </c>
      <c r="Q196" t="s">
        <v>439</v>
      </c>
      <c r="R196" t="s">
        <v>96</v>
      </c>
      <c r="S196" s="161"/>
      <c r="W196" t="s">
        <v>438</v>
      </c>
      <c r="X196" t="s">
        <v>439</v>
      </c>
      <c r="Y196" t="s">
        <v>96</v>
      </c>
      <c r="Z196" s="161"/>
      <c r="AD196" t="s">
        <v>438</v>
      </c>
      <c r="AE196" t="s">
        <v>439</v>
      </c>
      <c r="AF196" t="s">
        <v>96</v>
      </c>
      <c r="AG196" s="161"/>
      <c r="AK196" t="s">
        <v>438</v>
      </c>
      <c r="AL196" t="s">
        <v>439</v>
      </c>
      <c r="AM196" t="s">
        <v>96</v>
      </c>
      <c r="AN196" s="161"/>
      <c r="AR196" t="s">
        <v>438</v>
      </c>
      <c r="AS196" t="s">
        <v>439</v>
      </c>
      <c r="AT196" t="s">
        <v>96</v>
      </c>
      <c r="AU196" s="161"/>
      <c r="AY196" t="s">
        <v>438</v>
      </c>
      <c r="AZ196" t="s">
        <v>439</v>
      </c>
      <c r="BA196" t="s">
        <v>96</v>
      </c>
      <c r="BB196" s="161"/>
      <c r="BF196" t="s">
        <v>438</v>
      </c>
      <c r="BG196" t="s">
        <v>439</v>
      </c>
      <c r="BH196" t="s">
        <v>96</v>
      </c>
      <c r="BI196" s="161"/>
      <c r="BM196" t="s">
        <v>438</v>
      </c>
      <c r="BN196" t="s">
        <v>439</v>
      </c>
      <c r="BO196" t="s">
        <v>96</v>
      </c>
      <c r="BP196" s="161"/>
      <c r="BT196" t="s">
        <v>438</v>
      </c>
      <c r="BU196" t="s">
        <v>439</v>
      </c>
      <c r="BV196" t="s">
        <v>96</v>
      </c>
      <c r="BW196" s="161"/>
      <c r="CV196" s="157"/>
    </row>
    <row r="197" spans="2:100" x14ac:dyDescent="0.25">
      <c r="B197" s="157">
        <v>0</v>
      </c>
      <c r="C197">
        <v>1.5038</v>
      </c>
      <c r="D197">
        <v>-230.53</v>
      </c>
      <c r="I197" s="157">
        <v>0</v>
      </c>
      <c r="J197">
        <v>1.0049999999999999</v>
      </c>
      <c r="K197">
        <v>-85.528000000000006</v>
      </c>
      <c r="P197" s="157">
        <v>0</v>
      </c>
      <c r="Q197">
        <v>1.1765000000000001</v>
      </c>
      <c r="R197">
        <v>-82.587999999999994</v>
      </c>
      <c r="W197" s="157">
        <v>0</v>
      </c>
      <c r="X197">
        <v>1.2195</v>
      </c>
      <c r="Y197">
        <v>-65.488</v>
      </c>
      <c r="AD197" s="157">
        <v>0</v>
      </c>
      <c r="AE197">
        <v>1.3889</v>
      </c>
      <c r="AF197">
        <v>-58.194000000000003</v>
      </c>
      <c r="AK197" s="157">
        <v>0</v>
      </c>
      <c r="AL197">
        <v>1.6949000000000001</v>
      </c>
      <c r="AM197">
        <v>-70.338999999999999</v>
      </c>
      <c r="AR197" s="157">
        <v>0</v>
      </c>
      <c r="AS197">
        <v>1.9048</v>
      </c>
      <c r="AT197">
        <v>-61.143000000000001</v>
      </c>
      <c r="AY197" s="157">
        <v>0</v>
      </c>
      <c r="AZ197">
        <v>3.4483000000000001</v>
      </c>
      <c r="BA197">
        <v>-135.86000000000001</v>
      </c>
      <c r="BF197" s="157">
        <v>0</v>
      </c>
      <c r="BG197">
        <v>5.1281999999999996</v>
      </c>
      <c r="BH197">
        <v>-205.64</v>
      </c>
      <c r="BM197" s="157">
        <v>0</v>
      </c>
      <c r="BN197">
        <v>18.181999999999999</v>
      </c>
      <c r="BO197">
        <v>-823.64</v>
      </c>
      <c r="BT197" s="157">
        <v>0</v>
      </c>
      <c r="BU197">
        <v>22.222000000000001</v>
      </c>
      <c r="BV197">
        <v>-891.11</v>
      </c>
      <c r="CV197" s="157"/>
    </row>
    <row r="198" spans="2:100" x14ac:dyDescent="0.25">
      <c r="B198" s="157">
        <v>4.1900000000000001E-3</v>
      </c>
      <c r="C198">
        <v>-0.88560000000000005</v>
      </c>
      <c r="D198">
        <v>84.215999999999994</v>
      </c>
      <c r="I198" s="157">
        <v>1.64E-3</v>
      </c>
      <c r="J198">
        <v>0.20119999999999999</v>
      </c>
      <c r="K198">
        <v>2.3557000000000001</v>
      </c>
      <c r="P198" s="157">
        <v>1.6299999999999999E-3</v>
      </c>
      <c r="Q198">
        <v>0.32669999999999999</v>
      </c>
      <c r="R198">
        <v>3.7305999999999999</v>
      </c>
      <c r="W198" s="157">
        <v>1.42E-3</v>
      </c>
      <c r="X198">
        <v>0.4698</v>
      </c>
      <c r="Y198" s="426">
        <v>3.7157</v>
      </c>
      <c r="AD198" s="157">
        <v>3.8500000000000001E-3</v>
      </c>
      <c r="AE198">
        <v>0.29310000000000003</v>
      </c>
      <c r="AF198">
        <v>12.738</v>
      </c>
      <c r="AK198" s="157">
        <v>4.5999999999999999E-3</v>
      </c>
      <c r="AL198">
        <v>0.3498</v>
      </c>
      <c r="AM198">
        <v>12.763999999999999</v>
      </c>
      <c r="AR198" s="157">
        <v>1.09E-2</v>
      </c>
      <c r="AS198">
        <v>-2.4299999999999999E-2</v>
      </c>
      <c r="AT198">
        <v>21.98</v>
      </c>
      <c r="AY198" s="157">
        <v>1.6E-2</v>
      </c>
      <c r="AZ198">
        <v>-5.67E-2</v>
      </c>
      <c r="BA198">
        <v>20.704000000000001</v>
      </c>
      <c r="BF198" s="157">
        <v>2.5700000000000001E-2</v>
      </c>
      <c r="BG198">
        <v>-0.4753</v>
      </c>
      <c r="BH198">
        <v>26.684000000000001</v>
      </c>
      <c r="BM198" s="157">
        <v>4.02E-2</v>
      </c>
      <c r="BN198">
        <v>-1.0547</v>
      </c>
      <c r="BO198">
        <v>33.231000000000002</v>
      </c>
      <c r="BT198" s="157">
        <v>7.3700000000000002E-2</v>
      </c>
      <c r="BU198">
        <v>-2.5626000000000002</v>
      </c>
      <c r="BV198">
        <v>51.311999999999998</v>
      </c>
      <c r="CV198" s="157"/>
    </row>
    <row r="199" spans="2:100" x14ac:dyDescent="0.25">
      <c r="B199" s="157">
        <v>0</v>
      </c>
      <c r="C199">
        <v>0.29499999999999998</v>
      </c>
      <c r="D199">
        <v>1.5044</v>
      </c>
      <c r="I199" s="157">
        <v>0</v>
      </c>
      <c r="J199">
        <v>0.37240000000000001</v>
      </c>
      <c r="K199">
        <v>1.9739</v>
      </c>
      <c r="P199" s="157">
        <v>0</v>
      </c>
      <c r="Q199">
        <v>0.50249999999999995</v>
      </c>
      <c r="R199">
        <v>5.0299999999999997E-2</v>
      </c>
      <c r="W199" s="157">
        <v>0</v>
      </c>
      <c r="X199">
        <v>0.65790000000000004</v>
      </c>
      <c r="Y199">
        <v>-2.5</v>
      </c>
      <c r="AD199" s="157">
        <v>0</v>
      </c>
      <c r="AE199">
        <v>0.88109999999999999</v>
      </c>
      <c r="AF199">
        <v>-7.8414000000000001</v>
      </c>
      <c r="AK199" s="157">
        <v>0</v>
      </c>
      <c r="AL199">
        <v>0.82640000000000002</v>
      </c>
      <c r="AM199">
        <v>0.49590000000000001</v>
      </c>
      <c r="AR199" s="157">
        <v>0</v>
      </c>
      <c r="AS199">
        <v>1.0308999999999999</v>
      </c>
      <c r="AT199">
        <v>-3.0928</v>
      </c>
      <c r="AY199" s="157">
        <v>0</v>
      </c>
      <c r="AZ199">
        <v>1.0929</v>
      </c>
      <c r="BA199">
        <v>0.10929999999999999</v>
      </c>
      <c r="BF199" s="157">
        <v>0</v>
      </c>
      <c r="BG199">
        <v>1.1298999999999999</v>
      </c>
      <c r="BH199">
        <v>1.8079000000000001</v>
      </c>
      <c r="BM199" s="157">
        <v>0</v>
      </c>
      <c r="BN199">
        <v>1.1560999999999999</v>
      </c>
      <c r="BO199">
        <v>3.4681999999999999</v>
      </c>
      <c r="BT199" s="157">
        <v>0</v>
      </c>
      <c r="BU199">
        <v>1.1628000000000001</v>
      </c>
      <c r="BV199">
        <v>5.5814000000000004</v>
      </c>
      <c r="CV199" s="157"/>
    </row>
    <row r="200" spans="2:100" x14ac:dyDescent="0.25">
      <c r="AY200" s="157"/>
      <c r="CV200" s="157"/>
    </row>
    <row r="201" spans="2:100" x14ac:dyDescent="0.25">
      <c r="B201" s="201" t="s">
        <v>578</v>
      </c>
      <c r="C201" s="201"/>
      <c r="D201" s="201"/>
      <c r="E201" s="201"/>
      <c r="I201" s="201" t="s">
        <v>578</v>
      </c>
      <c r="J201" s="201"/>
      <c r="K201" s="201"/>
      <c r="L201" s="201"/>
      <c r="P201" s="201" t="s">
        <v>578</v>
      </c>
      <c r="Q201" s="201"/>
      <c r="R201" s="201"/>
      <c r="S201" s="201"/>
      <c r="W201" s="201" t="s">
        <v>578</v>
      </c>
      <c r="X201" s="201"/>
      <c r="Y201" s="201"/>
      <c r="Z201" s="201"/>
      <c r="AD201" s="201" t="s">
        <v>578</v>
      </c>
      <c r="AE201" s="201"/>
      <c r="AF201" s="201"/>
      <c r="AG201" s="201"/>
      <c r="AK201" s="201" t="s">
        <v>578</v>
      </c>
      <c r="AL201" s="201"/>
      <c r="AM201" s="201"/>
      <c r="AN201" s="201"/>
      <c r="AR201" s="201" t="s">
        <v>578</v>
      </c>
      <c r="AS201" s="201"/>
      <c r="AT201" s="201"/>
      <c r="AU201" s="201"/>
      <c r="AY201" s="201" t="s">
        <v>578</v>
      </c>
      <c r="AZ201" s="201"/>
      <c r="BA201" s="201"/>
      <c r="BB201" s="201"/>
      <c r="BF201" s="201" t="s">
        <v>578</v>
      </c>
      <c r="BG201" s="201"/>
      <c r="BH201" s="201"/>
      <c r="BI201" s="201"/>
      <c r="BM201" s="201" t="s">
        <v>578</v>
      </c>
      <c r="BN201" s="201"/>
      <c r="BO201" s="201"/>
      <c r="BP201" s="201"/>
      <c r="BT201" s="201" t="s">
        <v>578</v>
      </c>
      <c r="BU201" s="201"/>
      <c r="BV201" s="201"/>
      <c r="BW201" s="201"/>
      <c r="CV201" s="157"/>
    </row>
    <row r="202" spans="2:100" x14ac:dyDescent="0.25">
      <c r="B202" s="201" t="s">
        <v>579</v>
      </c>
      <c r="C202" s="201">
        <f>IF($C$54&gt;=C188,0,IF($C$54&lt;=C189,2,1))</f>
        <v>2</v>
      </c>
      <c r="D202" s="201"/>
      <c r="E202" s="201"/>
      <c r="I202" s="201" t="s">
        <v>579</v>
      </c>
      <c r="J202" s="201">
        <f t="shared" ref="J202" si="110">IF($C$54&gt;=J188,0,IF($C$54&lt;=J189,2,1))</f>
        <v>2</v>
      </c>
      <c r="K202" s="201"/>
      <c r="L202" s="201"/>
      <c r="P202" s="201" t="s">
        <v>579</v>
      </c>
      <c r="Q202" s="201">
        <f t="shared" ref="Q202" si="111">IF($C$54&gt;=Q188,0,IF($C$54&lt;=Q189,2,1))</f>
        <v>1</v>
      </c>
      <c r="R202" s="201"/>
      <c r="S202" s="201"/>
      <c r="W202" s="201" t="s">
        <v>579</v>
      </c>
      <c r="X202" s="201">
        <f t="shared" ref="X202" si="112">IF($C$54&gt;=X188,0,IF($C$54&lt;=X189,2,1))</f>
        <v>1</v>
      </c>
      <c r="Y202" s="201"/>
      <c r="Z202" s="201"/>
      <c r="AD202" s="201" t="s">
        <v>579</v>
      </c>
      <c r="AE202" s="201">
        <f t="shared" ref="AE202" si="113">IF($C$54&gt;=AE188,0,IF($C$54&lt;=AE189,2,1))</f>
        <v>1</v>
      </c>
      <c r="AF202" s="201"/>
      <c r="AG202" s="201"/>
      <c r="AK202" s="201" t="s">
        <v>579</v>
      </c>
      <c r="AL202" s="201">
        <f t="shared" ref="AL202" si="114">IF($C$54&gt;=AL188,0,IF($C$54&lt;=AL189,2,1))</f>
        <v>1</v>
      </c>
      <c r="AM202" s="201"/>
      <c r="AN202" s="201"/>
      <c r="AR202" s="201" t="s">
        <v>579</v>
      </c>
      <c r="AS202" s="201">
        <f t="shared" ref="AS202" si="115">IF($C$54&gt;=AS188,0,IF($C$54&lt;=AS189,2,1))</f>
        <v>0</v>
      </c>
      <c r="AT202" s="201"/>
      <c r="AU202" s="201"/>
      <c r="AY202" s="201" t="s">
        <v>579</v>
      </c>
      <c r="AZ202" s="201">
        <f t="shared" ref="AZ202" si="116">IF($C$54&gt;=AZ188,0,IF($C$54&lt;=AZ189,2,1))</f>
        <v>0</v>
      </c>
      <c r="BA202" s="201"/>
      <c r="BB202" s="201"/>
      <c r="BF202" s="201" t="s">
        <v>579</v>
      </c>
      <c r="BG202" s="201">
        <f t="shared" ref="BG202" si="117">IF($C$54&gt;=BG188,0,IF($C$54&lt;=BG189,2,1))</f>
        <v>0</v>
      </c>
      <c r="BH202" s="201"/>
      <c r="BI202" s="201"/>
      <c r="BM202" s="201" t="s">
        <v>579</v>
      </c>
      <c r="BN202" s="201">
        <f t="shared" ref="BN202" si="118">IF($C$54&gt;=BN188,0,IF($C$54&lt;=BN189,2,1))</f>
        <v>0</v>
      </c>
      <c r="BO202" s="201"/>
      <c r="BP202" s="201"/>
      <c r="BT202" s="201" t="s">
        <v>579</v>
      </c>
      <c r="BU202" s="201">
        <f t="shared" ref="BU202" si="119">IF($C$54&gt;=BU188,0,IF($C$54&lt;=BU189,2,1))</f>
        <v>0</v>
      </c>
      <c r="BV202" s="201"/>
      <c r="BW202" s="201"/>
      <c r="CV202" s="157"/>
    </row>
    <row r="203" spans="2:100" x14ac:dyDescent="0.25">
      <c r="B203" s="201" t="s">
        <v>580</v>
      </c>
      <c r="C203" s="201" cm="1">
        <f t="array" aca="1" ref="C203" ca="1">OFFSET(B197,C202,0,,)</f>
        <v>0</v>
      </c>
      <c r="D203" s="201" cm="1">
        <f t="array" aca="1" ref="D203" ca="1">OFFSET(C197,C202,0,,)</f>
        <v>0.29499999999999998</v>
      </c>
      <c r="E203" s="201" cm="1">
        <f t="array" aca="1" ref="E203" ca="1">OFFSET(D197,C202,0,,)</f>
        <v>1.5044</v>
      </c>
      <c r="I203" s="201" t="s">
        <v>580</v>
      </c>
      <c r="J203" s="201" cm="1">
        <f t="array" aca="1" ref="J203" ca="1">OFFSET(I197,J202,0,,)</f>
        <v>0</v>
      </c>
      <c r="K203" s="201" cm="1">
        <f t="array" aca="1" ref="K203" ca="1">OFFSET(J197,J202,0,,)</f>
        <v>0.37240000000000001</v>
      </c>
      <c r="L203" s="201" cm="1">
        <f t="array" aca="1" ref="L203" ca="1">OFFSET(K197,J202,0,,)</f>
        <v>1.9739</v>
      </c>
      <c r="P203" s="201" t="s">
        <v>580</v>
      </c>
      <c r="Q203" s="201" cm="1">
        <f t="array" aca="1" ref="Q203" ca="1">OFFSET(P197,Q202,0,,)</f>
        <v>1.6299999999999999E-3</v>
      </c>
      <c r="R203" s="201" cm="1">
        <f t="array" aca="1" ref="R203" ca="1">OFFSET(Q197,Q202,0,,)</f>
        <v>0.32669999999999999</v>
      </c>
      <c r="S203" s="201" cm="1">
        <f t="array" aca="1" ref="S203" ca="1">OFFSET(R197,Q202,0,,)</f>
        <v>3.7305999999999999</v>
      </c>
      <c r="W203" s="201" t="s">
        <v>580</v>
      </c>
      <c r="X203" s="201" cm="1">
        <f t="array" aca="1" ref="X203" ca="1">OFFSET(W197,X202,0,,)</f>
        <v>1.42E-3</v>
      </c>
      <c r="Y203" s="201" cm="1">
        <f t="array" aca="1" ref="Y203" ca="1">OFFSET(X197,X202,0,,)</f>
        <v>0.4698</v>
      </c>
      <c r="Z203" s="201" cm="1">
        <f t="array" aca="1" ref="Z203" ca="1">OFFSET(Y197,X202,0,,)</f>
        <v>3.7157</v>
      </c>
      <c r="AD203" s="201" t="s">
        <v>580</v>
      </c>
      <c r="AE203" s="201" cm="1">
        <f t="array" aca="1" ref="AE203" ca="1">OFFSET(AD197,AE202,0,,)</f>
        <v>3.8500000000000001E-3</v>
      </c>
      <c r="AF203" s="201" cm="1">
        <f t="array" aca="1" ref="AF203" ca="1">OFFSET(AE197,AE202,0,,)</f>
        <v>0.29310000000000003</v>
      </c>
      <c r="AG203" s="201" cm="1">
        <f t="array" aca="1" ref="AG203" ca="1">OFFSET(AF197,AE202,0,,)</f>
        <v>12.738</v>
      </c>
      <c r="AK203" s="201" t="s">
        <v>580</v>
      </c>
      <c r="AL203" s="201" cm="1">
        <f t="array" aca="1" ref="AL203" ca="1">OFFSET(AK197,AL202,0,,)</f>
        <v>4.5999999999999999E-3</v>
      </c>
      <c r="AM203" s="201" cm="1">
        <f t="array" aca="1" ref="AM203" ca="1">OFFSET(AL197,AL202,0,,)</f>
        <v>0.3498</v>
      </c>
      <c r="AN203" s="201" cm="1">
        <f t="array" aca="1" ref="AN203" ca="1">OFFSET(AM197,AL202,0,,)</f>
        <v>12.763999999999999</v>
      </c>
      <c r="AR203" s="201" t="s">
        <v>580</v>
      </c>
      <c r="AS203" s="201" cm="1">
        <f t="array" aca="1" ref="AS203" ca="1">OFFSET(AR197,AS202,0,,)</f>
        <v>0</v>
      </c>
      <c r="AT203" s="201" cm="1">
        <f t="array" aca="1" ref="AT203" ca="1">OFFSET(AS197,AS202,0,,)</f>
        <v>1.9048</v>
      </c>
      <c r="AU203" s="201" cm="1">
        <f t="array" aca="1" ref="AU203" ca="1">OFFSET(AT197,AS202,0,,)</f>
        <v>-61.143000000000001</v>
      </c>
      <c r="AY203" s="201" t="s">
        <v>580</v>
      </c>
      <c r="AZ203" s="201" cm="1">
        <f t="array" aca="1" ref="AZ203" ca="1">OFFSET(AY197,AZ202,0,,)</f>
        <v>0</v>
      </c>
      <c r="BA203" s="201" cm="1">
        <f t="array" aca="1" ref="BA203" ca="1">OFFSET(AZ197,AZ202,0,,)</f>
        <v>3.4483000000000001</v>
      </c>
      <c r="BB203" s="201" cm="1">
        <f t="array" aca="1" ref="BB203" ca="1">OFFSET(BA197,AZ202,0,,)</f>
        <v>-135.86000000000001</v>
      </c>
      <c r="BF203" s="201" t="s">
        <v>580</v>
      </c>
      <c r="BG203" s="201" cm="1">
        <f t="array" aca="1" ref="BG203" ca="1">OFFSET(BF197,BG202,0,,)</f>
        <v>0</v>
      </c>
      <c r="BH203" s="201" cm="1">
        <f t="array" aca="1" ref="BH203" ca="1">OFFSET(BG197,BG202,0,,)</f>
        <v>5.1281999999999996</v>
      </c>
      <c r="BI203" s="201" cm="1">
        <f t="array" aca="1" ref="BI203" ca="1">OFFSET(BH197,BG202,0,,)</f>
        <v>-205.64</v>
      </c>
      <c r="BM203" s="201" t="s">
        <v>580</v>
      </c>
      <c r="BN203" s="201" cm="1">
        <f t="array" aca="1" ref="BN203" ca="1">OFFSET(BM197,BN202,0,,)</f>
        <v>0</v>
      </c>
      <c r="BO203" s="201" cm="1">
        <f t="array" aca="1" ref="BO203" ca="1">OFFSET(BN197,BN202,0,,)</f>
        <v>18.181999999999999</v>
      </c>
      <c r="BP203" s="201" cm="1">
        <f t="array" aca="1" ref="BP203" ca="1">OFFSET(BO197,BN202,0,,)</f>
        <v>-823.64</v>
      </c>
      <c r="BT203" s="201" t="s">
        <v>580</v>
      </c>
      <c r="BU203" s="201" cm="1">
        <f t="array" aca="1" ref="BU203" ca="1">OFFSET(BT197,BU202,0,,)</f>
        <v>0</v>
      </c>
      <c r="BV203" s="201" cm="1">
        <f t="array" aca="1" ref="BV203" ca="1">OFFSET(BU197,BU202,0,,)</f>
        <v>22.222000000000001</v>
      </c>
      <c r="BW203" s="201" cm="1">
        <f t="array" aca="1" ref="BW203" ca="1">OFFSET(BV197,BU202,0,,)</f>
        <v>-891.11</v>
      </c>
      <c r="CV203" s="157"/>
    </row>
    <row r="204" spans="2:100" x14ac:dyDescent="0.25">
      <c r="B204" s="200" t="s">
        <v>581</v>
      </c>
      <c r="C204" s="429">
        <f ca="1">ROUND((C203*$C$54^2+D203*$C$54+E203)/100,2)</f>
        <v>0.27</v>
      </c>
      <c r="D204" s="201"/>
      <c r="E204" s="201"/>
      <c r="I204" s="200" t="s">
        <v>581</v>
      </c>
      <c r="J204" s="429">
        <f ca="1">ROUND((J203*$C$54^2+K203*$C$54+L203)/100,2)</f>
        <v>0.34</v>
      </c>
      <c r="K204" s="201"/>
      <c r="L204" s="201"/>
      <c r="P204" s="200" t="s">
        <v>581</v>
      </c>
      <c r="Q204" s="429">
        <f ca="1">ROUND((Q203*$C$54^2+R203*$C$54+S203)/100,2)</f>
        <v>0.44</v>
      </c>
      <c r="R204" s="201"/>
      <c r="S204" s="201"/>
      <c r="W204" s="200" t="s">
        <v>581</v>
      </c>
      <c r="X204" s="429">
        <f ca="1">ROUND((X203*$C$54^2+Y203*$C$54+Z203)/100,2)</f>
        <v>0.55000000000000004</v>
      </c>
      <c r="Y204" s="201"/>
      <c r="Z204" s="201"/>
      <c r="AD204" s="200" t="s">
        <v>581</v>
      </c>
      <c r="AE204" s="429">
        <f ca="1">ROUND((AE203*$C$54^2+AF203*$C$54+AG203)/100,2)</f>
        <v>0.67</v>
      </c>
      <c r="AF204" s="201"/>
      <c r="AG204" s="201"/>
      <c r="AK204" s="200" t="s">
        <v>581</v>
      </c>
      <c r="AL204" s="429">
        <f ca="1">ROUND((AL203*$C$54^2+AM203*$C$54+AN203)/100,2)</f>
        <v>0.78</v>
      </c>
      <c r="AM204" s="201"/>
      <c r="AN204" s="201"/>
      <c r="AR204" s="200" t="s">
        <v>581</v>
      </c>
      <c r="AS204" s="429">
        <f ca="1">ROUND((AS203*$C$54^2+AT203*$C$54+AU203)/100,2)</f>
        <v>1.04</v>
      </c>
      <c r="AT204" s="201"/>
      <c r="AU204" s="201"/>
      <c r="AY204" s="200" t="s">
        <v>581</v>
      </c>
      <c r="AZ204" s="429">
        <f ca="1">ROUND((AZ203*$C$54^2+BA203*$C$54+BB203)/100,2)</f>
        <v>1.63</v>
      </c>
      <c r="BA204" s="201"/>
      <c r="BB204" s="201"/>
      <c r="BF204" s="200" t="s">
        <v>581</v>
      </c>
      <c r="BG204" s="429">
        <f ca="1">ROUND((BG203*$C$54^2+BH203*$C$54+BI203)/100,2)</f>
        <v>2.38</v>
      </c>
      <c r="BH204" s="201"/>
      <c r="BI204" s="201"/>
      <c r="BM204" s="200" t="s">
        <v>581</v>
      </c>
      <c r="BN204" s="429">
        <f ca="1">ROUND((BN203*$C$54^2+BO203*$C$54+BP203)/100,2)</f>
        <v>7.51</v>
      </c>
      <c r="BO204" s="201"/>
      <c r="BP204" s="201"/>
      <c r="BT204" s="200" t="s">
        <v>581</v>
      </c>
      <c r="BU204" s="429">
        <f ca="1">ROUND((BU203*$C$54^2+BV203*$C$54+BW203)/100,2)</f>
        <v>10.33</v>
      </c>
      <c r="BV204" s="201"/>
      <c r="BW204" s="201"/>
      <c r="CV204" s="157"/>
    </row>
    <row r="205" spans="2:100" x14ac:dyDescent="0.25">
      <c r="AY205" s="157"/>
      <c r="CV205" s="157"/>
    </row>
    <row r="206" spans="2:100" x14ac:dyDescent="0.25">
      <c r="AY206" s="157"/>
      <c r="CV206" s="157"/>
    </row>
    <row r="207" spans="2:100" x14ac:dyDescent="0.25">
      <c r="B207" s="6"/>
      <c r="C207" s="11"/>
      <c r="AY207" s="157"/>
      <c r="CV207" s="157"/>
    </row>
    <row r="208" spans="2:100" x14ac:dyDescent="0.25">
      <c r="B208" s="6"/>
      <c r="C208" s="11"/>
      <c r="AY208" s="157"/>
      <c r="CV208" s="157"/>
    </row>
    <row r="209" spans="2:135" x14ac:dyDescent="0.25">
      <c r="B209" s="199" t="s">
        <v>334</v>
      </c>
      <c r="I209" s="199" t="s">
        <v>335</v>
      </c>
      <c r="P209" s="199" t="s">
        <v>353</v>
      </c>
      <c r="W209" s="199" t="s">
        <v>354</v>
      </c>
      <c r="AD209" s="199" t="s">
        <v>355</v>
      </c>
      <c r="AK209" s="199" t="s">
        <v>356</v>
      </c>
      <c r="AR209" s="199" t="s">
        <v>400</v>
      </c>
      <c r="AY209" s="199" t="s">
        <v>415</v>
      </c>
      <c r="BF209" s="199" t="s">
        <v>416</v>
      </c>
      <c r="BM209" s="199" t="s">
        <v>417</v>
      </c>
      <c r="BT209" s="199" t="s">
        <v>418</v>
      </c>
      <c r="CA209" s="1"/>
      <c r="CH209" s="1"/>
      <c r="CO209" s="1"/>
      <c r="CV209" s="160"/>
      <c r="DC209" s="1"/>
      <c r="DJ209" s="1"/>
      <c r="DQ209" s="1"/>
      <c r="DX209" s="1"/>
      <c r="EE209" s="1"/>
    </row>
    <row r="210" spans="2:135" x14ac:dyDescent="0.25">
      <c r="AY210" s="157"/>
      <c r="CV210" s="157"/>
    </row>
    <row r="211" spans="2:135" x14ac:dyDescent="0.25">
      <c r="B211" s="199" t="s">
        <v>343</v>
      </c>
      <c r="C211" t="s">
        <v>575</v>
      </c>
      <c r="AY211" s="157"/>
      <c r="CV211" s="157"/>
    </row>
    <row r="212" spans="2:135" x14ac:dyDescent="0.25">
      <c r="B212" t="s">
        <v>458</v>
      </c>
      <c r="C212">
        <f>D165</f>
        <v>274.36</v>
      </c>
      <c r="I212" t="s">
        <v>458</v>
      </c>
      <c r="J212">
        <f>K165</f>
        <v>208.32</v>
      </c>
      <c r="P212" t="s">
        <v>458</v>
      </c>
      <c r="Q212">
        <f>R165</f>
        <v>166.9</v>
      </c>
      <c r="W212" t="s">
        <v>458</v>
      </c>
      <c r="X212">
        <f>Y165</f>
        <v>142.28</v>
      </c>
      <c r="AD212" t="s">
        <v>458</v>
      </c>
      <c r="AE212">
        <f>AF165</f>
        <v>117.66000000000001</v>
      </c>
      <c r="AK212" t="s">
        <v>458</v>
      </c>
      <c r="AL212">
        <f>AM165</f>
        <v>100.86</v>
      </c>
      <c r="AR212" t="s">
        <v>458</v>
      </c>
      <c r="AS212">
        <f>AT165</f>
        <v>84.06</v>
      </c>
      <c r="AY212" t="s">
        <v>458</v>
      </c>
      <c r="AZ212">
        <f>BA165</f>
        <v>68.42</v>
      </c>
      <c r="BF212" t="s">
        <v>458</v>
      </c>
      <c r="BG212">
        <f>BH165</f>
        <v>59.44</v>
      </c>
      <c r="BM212" t="s">
        <v>458</v>
      </c>
      <c r="BN212">
        <f>BO165</f>
        <v>51.620000000000005</v>
      </c>
      <c r="BT212" t="s">
        <v>458</v>
      </c>
      <c r="BU212">
        <f>BV165</f>
        <v>43.8</v>
      </c>
      <c r="CV212" s="157"/>
    </row>
    <row r="213" spans="2:135" x14ac:dyDescent="0.25">
      <c r="B213" t="s">
        <v>426</v>
      </c>
      <c r="C213" s="10">
        <f>IF(C212&lt;91.7,0,0.0013*C212^2-0.2166*C212+9.1871)</f>
        <v>47.616156480000022</v>
      </c>
      <c r="I213" t="s">
        <v>426</v>
      </c>
      <c r="J213" s="10">
        <f t="shared" ref="J213" si="120">IF(J212&lt;91.7,0,0.0013*J212^2-0.2166*J212+9.1871)</f>
        <v>20.481377120000005</v>
      </c>
      <c r="P213" t="s">
        <v>426</v>
      </c>
      <c r="Q213" s="10">
        <f t="shared" ref="Q213" si="121">IF(Q212&lt;91.7,0,0.0013*Q212^2-0.2166*Q212+9.1871)</f>
        <v>9.2488530000000022</v>
      </c>
      <c r="W213" t="s">
        <v>426</v>
      </c>
      <c r="X213" s="10">
        <f t="shared" ref="X213" si="122">IF(X212&lt;91.7,0,0.0013*X212^2-0.2166*X212+9.1871)</f>
        <v>4.6859299199999978</v>
      </c>
      <c r="AD213" t="s">
        <v>426</v>
      </c>
      <c r="AE213" s="10">
        <f t="shared" ref="AE213" si="123">IF(AE212&lt;91.7,0,0.0013*AE212^2-0.2166*AE212+9.1871)</f>
        <v>1.698982280000001</v>
      </c>
      <c r="AK213" t="s">
        <v>426</v>
      </c>
      <c r="AL213" s="10">
        <f t="shared" ref="AL213" si="124">IF(AL212&lt;91.7,0,0.0013*AL212^2-0.2166*AL212+9.1871)</f>
        <v>0.56538547999999977</v>
      </c>
      <c r="AR213" t="s">
        <v>426</v>
      </c>
      <c r="AS213" s="10">
        <f t="shared" ref="AS213" si="125">IF(AS212&lt;91.7,0,0.0013*AS212^2-0.2166*AS212+9.1871)</f>
        <v>0</v>
      </c>
      <c r="AY213" t="s">
        <v>426</v>
      </c>
      <c r="AZ213" s="10">
        <f t="shared" ref="AZ213" si="126">IF(AZ212&lt;91.7,0,0.0013*AZ212^2-0.2166*AZ212+9.1871)</f>
        <v>0</v>
      </c>
      <c r="BF213" t="s">
        <v>426</v>
      </c>
      <c r="BG213" s="10">
        <f t="shared" ref="BG213" si="127">IF(BG212&lt;91.7,0,0.0013*BG212^2-0.2166*BG212+9.1871)</f>
        <v>0</v>
      </c>
      <c r="BM213" t="s">
        <v>426</v>
      </c>
      <c r="BN213" s="10">
        <f t="shared" ref="BN213" si="128">IF(BN212&lt;91.7,0,0.0013*BN212^2-0.2166*BN212+9.1871)</f>
        <v>0</v>
      </c>
      <c r="BT213" t="s">
        <v>426</v>
      </c>
      <c r="BU213" s="10">
        <f t="shared" ref="BU213" si="129">IF(BU212&lt;91.7,0,0.0013*BU212^2-0.2166*BU212+9.1871)</f>
        <v>0</v>
      </c>
      <c r="CV213" s="157"/>
    </row>
    <row r="214" spans="2:135" x14ac:dyDescent="0.25">
      <c r="B214" t="s">
        <v>427</v>
      </c>
      <c r="C214" s="10">
        <f>C212-C213</f>
        <v>226.74384351999998</v>
      </c>
      <c r="I214" t="s">
        <v>427</v>
      </c>
      <c r="J214" s="10">
        <f t="shared" ref="J214" si="130">J212-J213</f>
        <v>187.83862288</v>
      </c>
      <c r="P214" t="s">
        <v>427</v>
      </c>
      <c r="Q214" s="10">
        <f t="shared" ref="Q214" si="131">Q212-Q213</f>
        <v>157.65114700000001</v>
      </c>
      <c r="W214" t="s">
        <v>427</v>
      </c>
      <c r="X214" s="10">
        <f t="shared" ref="X214" si="132">X212-X213</f>
        <v>137.59407007999999</v>
      </c>
      <c r="AD214" t="s">
        <v>427</v>
      </c>
      <c r="AE214" s="10">
        <f t="shared" ref="AE214" si="133">AE212-AE213</f>
        <v>115.96101772000002</v>
      </c>
      <c r="AK214" t="s">
        <v>427</v>
      </c>
      <c r="AL214" s="10">
        <f t="shared" ref="AL214" si="134">AL212-AL213</f>
        <v>100.29461452</v>
      </c>
      <c r="AR214" t="s">
        <v>427</v>
      </c>
      <c r="AS214" s="10">
        <f t="shared" ref="AS214" si="135">AS212-AS213</f>
        <v>84.06</v>
      </c>
      <c r="AY214" t="s">
        <v>427</v>
      </c>
      <c r="AZ214" s="10">
        <f t="shared" ref="AZ214" si="136">AZ212-AZ213</f>
        <v>68.42</v>
      </c>
      <c r="BF214" t="s">
        <v>427</v>
      </c>
      <c r="BG214" s="10">
        <f t="shared" ref="BG214" si="137">BG212-BG213</f>
        <v>59.44</v>
      </c>
      <c r="BM214" t="s">
        <v>427</v>
      </c>
      <c r="BN214" s="10">
        <f t="shared" ref="BN214" si="138">BN212-BN213</f>
        <v>51.620000000000005</v>
      </c>
      <c r="BT214" t="s">
        <v>427</v>
      </c>
      <c r="BU214" s="10">
        <f t="shared" ref="BU214" si="139">BU212-BU213</f>
        <v>43.8</v>
      </c>
      <c r="CV214" s="157"/>
    </row>
    <row r="215" spans="2:135" x14ac:dyDescent="0.25">
      <c r="B215" t="s">
        <v>437</v>
      </c>
      <c r="C215">
        <f>10*LOG(C214/$C$214)</f>
        <v>0</v>
      </c>
      <c r="I215" t="s">
        <v>459</v>
      </c>
      <c r="J215">
        <f t="shared" ref="J215" si="140">10*LOG(J214/$C$214)</f>
        <v>-0.81750608467481123</v>
      </c>
      <c r="P215" t="s">
        <v>460</v>
      </c>
      <c r="Q215">
        <f t="shared" ref="Q215" si="141">10*LOG(Q214/$C$214)</f>
        <v>-1.5783836923035846</v>
      </c>
      <c r="W215" t="s">
        <v>461</v>
      </c>
      <c r="X215">
        <f t="shared" ref="X215" si="142">10*LOG(X214/$C$214)</f>
        <v>-2.1693578663629549</v>
      </c>
      <c r="AD215" t="s">
        <v>462</v>
      </c>
      <c r="AE215">
        <f t="shared" ref="AE215" si="143">10*LOG(AE214/$C$214)</f>
        <v>-2.9122348581954949</v>
      </c>
      <c r="AK215" t="s">
        <v>463</v>
      </c>
      <c r="AL215">
        <f t="shared" ref="AL215" si="144">10*LOG(AL214/$C$214)</f>
        <v>-3.5425789055174262</v>
      </c>
      <c r="AR215" t="s">
        <v>464</v>
      </c>
      <c r="AS215">
        <f t="shared" ref="AS215" si="145">10*LOG(AS214/$C$214)</f>
        <v>-4.3094611839087467</v>
      </c>
      <c r="AY215" t="s">
        <v>465</v>
      </c>
      <c r="AZ215">
        <f t="shared" ref="AZ215" si="146">10*LOG(AZ214/$C$214)</f>
        <v>-5.2035243421124919</v>
      </c>
      <c r="BF215" t="s">
        <v>466</v>
      </c>
      <c r="BG215">
        <f t="shared" ref="BG215" si="147">10*LOG(BG214/$C$214)</f>
        <v>-5.8145670330777399</v>
      </c>
      <c r="BM215" t="s">
        <v>467</v>
      </c>
      <c r="BN215">
        <f t="shared" ref="BN215" si="148">10*LOG(BN214/$C$214)</f>
        <v>-6.4271750385244273</v>
      </c>
      <c r="BT215" t="s">
        <v>468</v>
      </c>
      <c r="BU215">
        <f t="shared" ref="BU215" si="149">10*LOG(BU214/$C$214)</f>
        <v>-7.1406139355619338</v>
      </c>
      <c r="CV215" s="157"/>
    </row>
    <row r="216" spans="2:135" x14ac:dyDescent="0.25">
      <c r="B216" t="s">
        <v>435</v>
      </c>
      <c r="C216">
        <v>14.907</v>
      </c>
      <c r="I216" t="s">
        <v>435</v>
      </c>
      <c r="J216">
        <v>14.907</v>
      </c>
      <c r="P216" t="s">
        <v>435</v>
      </c>
      <c r="Q216">
        <v>14.907</v>
      </c>
      <c r="W216" t="s">
        <v>435</v>
      </c>
      <c r="X216">
        <v>14.907</v>
      </c>
      <c r="AD216" t="s">
        <v>435</v>
      </c>
      <c r="AE216">
        <v>14.907</v>
      </c>
      <c r="AK216" t="s">
        <v>435</v>
      </c>
      <c r="AL216">
        <v>14.907</v>
      </c>
      <c r="AR216" t="s">
        <v>435</v>
      </c>
      <c r="AS216">
        <v>14.907</v>
      </c>
      <c r="AY216" t="s">
        <v>435</v>
      </c>
      <c r="AZ216">
        <v>14.907</v>
      </c>
      <c r="BF216" t="s">
        <v>435</v>
      </c>
      <c r="BG216">
        <v>14.907</v>
      </c>
      <c r="BM216" t="s">
        <v>435</v>
      </c>
      <c r="BN216">
        <v>14.907</v>
      </c>
      <c r="BT216" t="s">
        <v>435</v>
      </c>
      <c r="BU216">
        <v>14.907</v>
      </c>
      <c r="CV216" s="157"/>
    </row>
    <row r="217" spans="2:135" x14ac:dyDescent="0.25">
      <c r="B217" t="s">
        <v>436</v>
      </c>
      <c r="C217">
        <f>-5.8524+C215</f>
        <v>-5.8524000000000003</v>
      </c>
      <c r="I217" t="s">
        <v>436</v>
      </c>
      <c r="J217">
        <f t="shared" ref="J217" si="150">-5.8524+J215</f>
        <v>-6.6699060846748113</v>
      </c>
      <c r="P217" t="s">
        <v>436</v>
      </c>
      <c r="Q217">
        <f t="shared" ref="Q217" si="151">-5.8524+Q215</f>
        <v>-7.430783692303585</v>
      </c>
      <c r="W217" t="s">
        <v>436</v>
      </c>
      <c r="X217">
        <f t="shared" ref="X217" si="152">-5.8524+X215</f>
        <v>-8.0217578663629556</v>
      </c>
      <c r="AD217" t="s">
        <v>436</v>
      </c>
      <c r="AE217">
        <f t="shared" ref="AE217" si="153">-5.8524+AE215</f>
        <v>-8.764634858195496</v>
      </c>
      <c r="AK217" t="s">
        <v>436</v>
      </c>
      <c r="AL217">
        <f t="shared" ref="AL217" si="154">-5.8524+AL215</f>
        <v>-9.3949789055174264</v>
      </c>
      <c r="AR217" t="s">
        <v>436</v>
      </c>
      <c r="AS217">
        <f t="shared" ref="AS217" si="155">-5.8524+AS215</f>
        <v>-10.161861183908748</v>
      </c>
      <c r="AY217" t="s">
        <v>436</v>
      </c>
      <c r="AZ217">
        <f t="shared" ref="AZ217" si="156">-5.8524+AZ215</f>
        <v>-11.055924342112492</v>
      </c>
      <c r="BF217" t="s">
        <v>436</v>
      </c>
      <c r="BG217">
        <f t="shared" ref="BG217" si="157">-5.8524+BG215</f>
        <v>-11.666967033077739</v>
      </c>
      <c r="BM217" t="s">
        <v>436</v>
      </c>
      <c r="BN217">
        <f t="shared" ref="BN217" si="158">-5.8524+BN215</f>
        <v>-12.279575038524428</v>
      </c>
      <c r="BT217" t="s">
        <v>436</v>
      </c>
      <c r="BU217">
        <f t="shared" ref="BU217" si="159">-5.8524+BU215</f>
        <v>-12.993013935561933</v>
      </c>
      <c r="CV217" s="157"/>
    </row>
    <row r="218" spans="2:135" x14ac:dyDescent="0.25">
      <c r="CV218" s="157"/>
    </row>
    <row r="219" spans="2:135" x14ac:dyDescent="0.25">
      <c r="B219" t="str">
        <f>"SWL @ " &amp;ROUND(C179,1)&amp; " Pa"</f>
        <v>SWL @ 6.2 Pa</v>
      </c>
      <c r="C219" s="207">
        <f>C216*LN(C179)+C217</f>
        <v>21.361615528482886</v>
      </c>
      <c r="D219" t="s">
        <v>642</v>
      </c>
      <c r="I219" t="str">
        <f t="shared" ref="I219" si="160">"SWL @ " &amp;ROUND(J179,1)&amp; " Pa"</f>
        <v>SWL @ 8.8 Pa</v>
      </c>
      <c r="J219" s="207">
        <f t="shared" ref="J219" si="161">J216*LN(J179)+J217</f>
        <v>25.766942926505703</v>
      </c>
      <c r="K219" t="s">
        <v>642</v>
      </c>
      <c r="P219" t="str">
        <f t="shared" ref="P219" si="162">"SWL @ " &amp;ROUND(Q179,1)&amp; " Pa"</f>
        <v>SWL @ 12.4 Pa</v>
      </c>
      <c r="Q219" s="207">
        <f t="shared" ref="Q219" si="163">Q216*LN(Q179)+Q217</f>
        <v>30.124576738219751</v>
      </c>
      <c r="R219" t="s">
        <v>642</v>
      </c>
      <c r="W219" t="str">
        <f t="shared" ref="W219" si="164">"SWL @ " &amp;ROUND(X179,1)&amp; " Pa"</f>
        <v>SWL @ 16.3 Pa</v>
      </c>
      <c r="X219" s="207">
        <f t="shared" ref="X219" si="165">X216*LN(X179)+X217</f>
        <v>33.605753138248481</v>
      </c>
      <c r="Y219" t="s">
        <v>642</v>
      </c>
      <c r="AD219" t="str">
        <f t="shared" ref="AD219" si="166">"SWL @ " &amp;ROUND(AE179,1)&amp; " Pa"</f>
        <v>SWL @ 23.1 Pa</v>
      </c>
      <c r="AE219" s="207">
        <f t="shared" ref="AE219" si="167">AE216*LN(AE179)+AE217</f>
        <v>38.072284904304908</v>
      </c>
      <c r="AF219" t="s">
        <v>642</v>
      </c>
      <c r="AK219" t="str">
        <f t="shared" ref="AK219" si="168">"SWL @ " &amp;ROUND(AL179,1)&amp; " Pa"</f>
        <v>SWL @ 29.5 Pa</v>
      </c>
      <c r="AL219" s="207">
        <f t="shared" ref="AL219" si="169">AL216*LN(AL179)+AL217</f>
        <v>41.051366304008539</v>
      </c>
      <c r="AM219" t="s">
        <v>642</v>
      </c>
      <c r="AR219" t="str">
        <f t="shared" ref="AR219" si="170">"SWL @ " &amp;ROUND(AS179,1)&amp; " Pa"</f>
        <v>SWL @ 42.5 Pa</v>
      </c>
      <c r="AS219" s="207">
        <f t="shared" ref="AS219" si="171">AS216*LN(AS179)+AS217</f>
        <v>45.71667195657016</v>
      </c>
      <c r="AT219" t="s">
        <v>642</v>
      </c>
      <c r="AY219" t="str">
        <f t="shared" ref="AY219" si="172">"SWL @ " &amp;ROUND(AZ179,1)&amp; " Pa"</f>
        <v>SWL @ 64.1 Pa</v>
      </c>
      <c r="AZ219" s="207">
        <f t="shared" ref="AZ219" si="173">AZ216*LN(AZ179)+AZ217</f>
        <v>50.960287288286651</v>
      </c>
      <c r="BA219" t="s">
        <v>642</v>
      </c>
      <c r="BF219" t="str">
        <f t="shared" ref="BF219" si="174">"SWL @ " &amp;ROUND(BG179,1)&amp; " Pa"</f>
        <v>SWL @ 84.9 Pa</v>
      </c>
      <c r="BG219" s="207">
        <f t="shared" ref="BG219" si="175">BG216*LN(BG179)+BG217</f>
        <v>54.544008184600017</v>
      </c>
      <c r="BH219" t="s">
        <v>642</v>
      </c>
      <c r="BM219" t="str">
        <f t="shared" ref="BM219" si="176">"SWL @ " &amp;ROUND(BN179,1)&amp; " Pa"</f>
        <v>SWL @ 112.6 Pa</v>
      </c>
      <c r="BN219" s="207">
        <f t="shared" ref="BN219" si="177">BN216*LN(BN179)+BN217</f>
        <v>58.13690953638627</v>
      </c>
      <c r="BO219" t="s">
        <v>642</v>
      </c>
      <c r="BT219" t="str">
        <f t="shared" ref="BT219" si="178">"SWL @ " &amp;ROUND(BU179,1)&amp; " Pa"</f>
        <v>SWL @ 156.4 Pa</v>
      </c>
      <c r="BU219" s="207">
        <f t="shared" ref="BU219" si="179">BU216*LN(BU179)+BU217</f>
        <v>62.321176726485888</v>
      </c>
      <c r="BV219" t="s">
        <v>642</v>
      </c>
      <c r="CV219" s="157"/>
    </row>
    <row r="220" spans="2:135" x14ac:dyDescent="0.25">
      <c r="CV220" s="157"/>
    </row>
    <row r="221" spans="2:135" x14ac:dyDescent="0.25">
      <c r="B221" t="s">
        <v>634</v>
      </c>
      <c r="C221">
        <f>28.139*LN($C$14)-109.5+1.3</f>
        <v>21.384883863518912</v>
      </c>
      <c r="I221" t="s">
        <v>634</v>
      </c>
      <c r="J221">
        <f t="shared" ref="J221" si="180">28.139*LN($C$14)-109.5+1.3</f>
        <v>21.384883863518912</v>
      </c>
      <c r="P221" t="s">
        <v>634</v>
      </c>
      <c r="Q221">
        <f t="shared" ref="Q221" si="181">28.139*LN($C$14)-109.5+1.3</f>
        <v>21.384883863518912</v>
      </c>
      <c r="W221" t="s">
        <v>634</v>
      </c>
      <c r="X221">
        <f t="shared" ref="X221" si="182">28.139*LN($C$14)-109.5+1.3</f>
        <v>21.384883863518912</v>
      </c>
      <c r="AD221" t="s">
        <v>634</v>
      </c>
      <c r="AE221">
        <f t="shared" ref="AE221" si="183">28.139*LN($C$14)-109.5+1.3</f>
        <v>21.384883863518912</v>
      </c>
      <c r="AK221" t="s">
        <v>634</v>
      </c>
      <c r="AL221">
        <f t="shared" ref="AL221" si="184">28.139*LN($C$14)-109.5+1.3</f>
        <v>21.384883863518912</v>
      </c>
      <c r="AR221" t="s">
        <v>634</v>
      </c>
      <c r="AS221">
        <f t="shared" ref="AS221" si="185">28.139*LN($C$14)-109.5+1.3</f>
        <v>21.384883863518912</v>
      </c>
      <c r="AY221" t="s">
        <v>634</v>
      </c>
      <c r="AZ221">
        <f t="shared" ref="AZ221" si="186">28.139*LN($C$14)-109.5+1.3</f>
        <v>21.384883863518912</v>
      </c>
      <c r="BF221" t="s">
        <v>634</v>
      </c>
      <c r="BG221">
        <f t="shared" ref="BG221" si="187">28.139*LN($C$14)-109.5+1.3</f>
        <v>21.384883863518912</v>
      </c>
      <c r="BM221" t="s">
        <v>634</v>
      </c>
      <c r="BN221">
        <f t="shared" ref="BN221" si="188">28.139*LN($C$14)-109.5+1.3</f>
        <v>21.384883863518912</v>
      </c>
      <c r="BT221" t="s">
        <v>634</v>
      </c>
      <c r="BU221">
        <f t="shared" ref="BU221" si="189">28.139*LN($C$14)-109.5+1.3</f>
        <v>21.384883863518912</v>
      </c>
      <c r="CV221" s="157"/>
    </row>
    <row r="222" spans="2:135" x14ac:dyDescent="0.25">
      <c r="CV222" s="157"/>
    </row>
    <row r="223" spans="2:135" x14ac:dyDescent="0.25">
      <c r="B223" t="s">
        <v>639</v>
      </c>
      <c r="I223" t="s">
        <v>639</v>
      </c>
      <c r="P223" t="s">
        <v>639</v>
      </c>
      <c r="W223" t="s">
        <v>639</v>
      </c>
      <c r="AD223" t="s">
        <v>639</v>
      </c>
      <c r="AK223" t="s">
        <v>639</v>
      </c>
      <c r="AR223" t="s">
        <v>639</v>
      </c>
      <c r="AY223" t="s">
        <v>639</v>
      </c>
      <c r="BF223" t="s">
        <v>639</v>
      </c>
      <c r="BM223" t="s">
        <v>639</v>
      </c>
      <c r="BT223" t="s">
        <v>639</v>
      </c>
      <c r="CV223" s="157"/>
    </row>
    <row r="224" spans="2:135" x14ac:dyDescent="0.25">
      <c r="B224" t="s">
        <v>643</v>
      </c>
      <c r="C224" t="str">
        <f ca="1">"SWL @ " &amp; TEXT(C204,"0.0%")</f>
        <v>SWL @ 27.0%</v>
      </c>
      <c r="I224" t="s">
        <v>643</v>
      </c>
      <c r="J224" t="str">
        <f ca="1">"SWL @ " &amp; TEXT(J204,"0.0%")</f>
        <v>SWL @ 34.0%</v>
      </c>
      <c r="P224" t="s">
        <v>643</v>
      </c>
      <c r="Q224" t="str">
        <f ca="1">"SWL @ " &amp; TEXT(Q204,"0.0%")</f>
        <v>SWL @ 44.0%</v>
      </c>
      <c r="W224" t="s">
        <v>643</v>
      </c>
      <c r="X224" t="str">
        <f ca="1">"SWL @ " &amp; TEXT(X204,"0.0%")</f>
        <v>SWL @ 55.0%</v>
      </c>
      <c r="AD224" t="s">
        <v>643</v>
      </c>
      <c r="AE224" t="str">
        <f ca="1">"SWL @ " &amp; TEXT(AE204,"0.0%")</f>
        <v>SWL @ 67.0%</v>
      </c>
      <c r="AK224" t="s">
        <v>643</v>
      </c>
      <c r="AL224" t="str">
        <f ca="1">"SWL @ " &amp; TEXT(AL204,"0.0%")</f>
        <v>SWL @ 78.0%</v>
      </c>
      <c r="AR224" t="s">
        <v>643</v>
      </c>
      <c r="AS224" t="str">
        <f ca="1">"SWL @ " &amp; TEXT(AS204,"0.0%")</f>
        <v>SWL @ 104.0%</v>
      </c>
      <c r="AY224" t="s">
        <v>643</v>
      </c>
      <c r="AZ224" t="str">
        <f ca="1">"SWL @ " &amp; TEXT(AZ204,"0.0%")</f>
        <v>SWL @ 163.0%</v>
      </c>
      <c r="BF224" t="s">
        <v>643</v>
      </c>
      <c r="BG224" t="str">
        <f ca="1">"SWL @ " &amp; TEXT(BG204,"0.0%")</f>
        <v>SWL @ 238.0%</v>
      </c>
      <c r="BM224" t="s">
        <v>643</v>
      </c>
      <c r="BN224" t="str">
        <f ca="1">"SWL @ " &amp; TEXT(BN204,"0.0%")</f>
        <v>SWL @ 751.0%</v>
      </c>
      <c r="BT224" t="s">
        <v>643</v>
      </c>
      <c r="BU224" t="str">
        <f ca="1">"SWL @ " &amp; TEXT(BU204,"0.0%")</f>
        <v>SWL @ 1033.0%</v>
      </c>
      <c r="CV224" s="157"/>
    </row>
    <row r="225" spans="2:140" x14ac:dyDescent="0.25">
      <c r="B225">
        <f>LN($B$136)</f>
        <v>4.0943445622221004</v>
      </c>
      <c r="C225">
        <f ca="1">$C$136*C204^3+$D$136*C204^2+$E$136*C204+$F$136</f>
        <v>45.1759894359</v>
      </c>
      <c r="I225">
        <f t="shared" ref="I225" si="190">LN($B$136)</f>
        <v>4.0943445622221004</v>
      </c>
      <c r="J225">
        <f ca="1">$C$136*J204^3+$D$136*J204^2+$E$136*J204+$F$136</f>
        <v>45.421601319200001</v>
      </c>
      <c r="P225">
        <f t="shared" ref="P225" si="191">LN($B$136)</f>
        <v>4.0943445622221004</v>
      </c>
      <c r="Q225">
        <f ca="1">$C$136*Q204^3+$D$136*Q204^2+$E$136*Q204+$F$136</f>
        <v>45.7753002432</v>
      </c>
      <c r="W225">
        <f t="shared" ref="W225" si="192">LN($B$136)</f>
        <v>4.0943445622221004</v>
      </c>
      <c r="X225">
        <f ca="1">$C$136*X204^3+$D$136*X204^2+$E$136*X204+$F$136</f>
        <v>46.161463287499998</v>
      </c>
      <c r="AD225">
        <f t="shared" ref="AD225" si="193">LN($B$136)</f>
        <v>4.0943445622221004</v>
      </c>
      <c r="AE225">
        <f ca="1">$C$136*AE204^3+$D$136*AE204^2+$E$136*AE204+$F$136</f>
        <v>46.569763319900005</v>
      </c>
      <c r="AK225">
        <f t="shared" ref="AK225" si="194">LN($B$136)</f>
        <v>4.0943445622221004</v>
      </c>
      <c r="AL225">
        <f ca="1">$C$136*AL204^3+$D$136*AL204^2+$E$136*AL204+$F$136</f>
        <v>46.923181029600002</v>
      </c>
      <c r="AR225">
        <f t="shared" ref="AR225" si="195">LN($B$136)</f>
        <v>4.0943445622221004</v>
      </c>
      <c r="AS225">
        <f ca="1">$C$136*AS204^3+$D$136*AS204^2+$E$136*AS204+$F$136</f>
        <v>47.6300739072</v>
      </c>
      <c r="AY225">
        <f t="shared" ref="AY225" si="196">LN($B$136)</f>
        <v>4.0943445622221004</v>
      </c>
      <c r="AZ225">
        <f ca="1">$C$136*AZ204^3+$D$136*AZ204^2+$E$136*AZ204+$F$136</f>
        <v>48.062515003100003</v>
      </c>
      <c r="BF225">
        <f t="shared" ref="BF225" si="197">LN($B$136)</f>
        <v>4.0943445622221004</v>
      </c>
      <c r="BG225">
        <f ca="1">$C$136*BG204^3+$D$136*BG204^2+$E$136*BG204+$F$136</f>
        <v>44.587570085599999</v>
      </c>
      <c r="BM225">
        <f t="shared" ref="BM225" si="198">LN($B$136)</f>
        <v>4.0943445622221004</v>
      </c>
      <c r="BN225">
        <f ca="1">$C$136*BN204^3+$D$136*BN204^2+$E$136*BN204+$F$136</f>
        <v>-303.47562176769992</v>
      </c>
      <c r="BT225">
        <f t="shared" ref="BT225" si="199">LN($B$136)</f>
        <v>4.0943445622221004</v>
      </c>
      <c r="BU225">
        <f ca="1">$C$136*BU204^3+$D$136*BU204^2+$E$136*BU204+$F$136</f>
        <v>-939.20685550989992</v>
      </c>
      <c r="CV225" s="157"/>
    </row>
    <row r="226" spans="2:140" x14ac:dyDescent="0.25">
      <c r="B226" s="141">
        <f>LN($B$137)</f>
        <v>2.9957322735539909</v>
      </c>
      <c r="C226" s="141">
        <f ca="1">$C$137*C204^3+$D$137*C204^2+$E$137*C204+$F$137</f>
        <v>32.502315792000005</v>
      </c>
      <c r="I226" s="141">
        <f t="shared" ref="I226" si="200">LN($B$137)</f>
        <v>2.9957322735539909</v>
      </c>
      <c r="J226" s="141">
        <f ca="1">$C$137*J204^3+$D$137*J204^2+$E$137*J204+$F$137</f>
        <v>32.795242496</v>
      </c>
      <c r="P226" s="141">
        <f t="shared" ref="P226" si="201">LN($B$137)</f>
        <v>2.9957322735539909</v>
      </c>
      <c r="Q226" s="141">
        <f ca="1">$C$137*Q204^3+$D$137*Q204^2+$E$137*Q204+$F$137</f>
        <v>32.520367616000001</v>
      </c>
      <c r="W226" s="141">
        <f t="shared" ref="W226" si="202">LN($B$137)</f>
        <v>2.9957322735539909</v>
      </c>
      <c r="X226" s="141">
        <f ca="1">$C$137*X204^3+$D$137*X204^2+$E$137*X204+$F$137</f>
        <v>31.662818000000005</v>
      </c>
      <c r="AD226" s="141">
        <f t="shared" ref="AD226" si="203">LN($B$137)</f>
        <v>2.9957322735539909</v>
      </c>
      <c r="AE226" s="141">
        <f ca="1">$C$137*AE204^3+$D$137*AE204^2+$E$137*AE204+$F$137</f>
        <v>30.608845711999997</v>
      </c>
      <c r="AK226" s="141">
        <f t="shared" ref="AK226" si="204">LN($B$137)</f>
        <v>2.9957322735539909</v>
      </c>
      <c r="AL226" s="141">
        <f ca="1">$C$137*AL204^3+$D$137*AL204^2+$E$137*AL204+$F$137</f>
        <v>30.048718848000004</v>
      </c>
      <c r="AR226" s="141">
        <f t="shared" ref="AR226" si="205">LN($B$137)</f>
        <v>2.9957322735539909</v>
      </c>
      <c r="AS226" s="141">
        <f ca="1">$C$137*AS204^3+$D$137*AS204^2+$E$137*AS204+$F$137</f>
        <v>33.088583936000006</v>
      </c>
      <c r="AY226" s="141">
        <f t="shared" ref="AY226" si="206">LN($B$137)</f>
        <v>2.9957322735539909</v>
      </c>
      <c r="AZ226" s="141">
        <f ca="1">$C$137*AZ204^3+$D$137*AZ204^2+$E$137*AZ204+$F$137</f>
        <v>91.537328528000032</v>
      </c>
      <c r="BF226" s="141">
        <f t="shared" ref="BF226" si="207">LN($B$137)</f>
        <v>2.9957322735539909</v>
      </c>
      <c r="BG226" s="141">
        <f ca="1">$C$137*BG204^3+$D$137*BG204^2+$E$137*BG204+$F$137</f>
        <v>365.34033612799988</v>
      </c>
      <c r="BM226" s="141">
        <f t="shared" ref="BM226" si="208">LN($B$137)</f>
        <v>2.9957322735539909</v>
      </c>
      <c r="BN226" s="141">
        <f ca="1">$C$137*BN204^3+$D$137*BN204^2+$E$137*BN204+$F$137</f>
        <v>19901.595423823997</v>
      </c>
      <c r="BT226" s="141">
        <f t="shared" ref="BT226" si="209">LN($B$137)</f>
        <v>2.9957322735539909</v>
      </c>
      <c r="BU226" s="141">
        <f ca="1">$C$137*BU204^3+$D$137*BU204^2+$E$137*BU204+$F$137</f>
        <v>55437.162823087987</v>
      </c>
      <c r="CV226" s="157"/>
    </row>
    <row r="227" spans="2:140" x14ac:dyDescent="0.25">
      <c r="B227">
        <f>$C$35</f>
        <v>40</v>
      </c>
      <c r="C227" cm="1">
        <f t="array" aca="1" ref="C227:D227" ca="1">LINEST(C225:C226,B225:B226,1,0)</f>
        <v>11.536074896144466</v>
      </c>
      <c r="D227">
        <f ca="1"/>
        <v>-2.0566760845159777</v>
      </c>
      <c r="I227">
        <f>$C$35</f>
        <v>40</v>
      </c>
      <c r="J227" cm="1">
        <f t="array" aca="1" ref="J227:K227" ca="1">LINEST(J225:J226,I225:I226,1,0)</f>
        <v>11.493007090342514</v>
      </c>
      <c r="K227">
        <f ca="1"/>
        <v>-1.6347297647239145</v>
      </c>
      <c r="P227">
        <f>$C$35</f>
        <v>40</v>
      </c>
      <c r="Q227" cm="1">
        <f t="array" aca="1" ref="Q227:R227" ca="1">LINEST(Q225:Q226,P225:P226,1,0)</f>
        <v>12.065159623573361</v>
      </c>
      <c r="R227">
        <f ca="1"/>
        <v>-3.6236204539192443</v>
      </c>
      <c r="W227">
        <f>$C$35</f>
        <v>40</v>
      </c>
      <c r="X227" cm="1">
        <f t="array" aca="1" ref="X227:Y227" ca="1">LINEST(X225:X226,W225:W226,1,0)</f>
        <v>13.197235673630841</v>
      </c>
      <c r="Y227">
        <f ca="1"/>
        <v>-7.872566829193957</v>
      </c>
      <c r="AD227">
        <f>$C$35</f>
        <v>40</v>
      </c>
      <c r="AE227" cm="1">
        <f t="array" aca="1" ref="AE227:AF227" ca="1">LINEST(AE225:AE226,AD225:AD226,1,0)</f>
        <v>14.528253299669577</v>
      </c>
      <c r="AF227">
        <f ca="1"/>
        <v>-12.913911576187417</v>
      </c>
      <c r="AK227">
        <f>$C$35</f>
        <v>40</v>
      </c>
      <c r="AL227" cm="1">
        <f t="array" aca="1" ref="AL227:AM227" ca="1">LINEST(AL225:AL226,AK225:AK226,1,0)</f>
        <v>15.359797405923398</v>
      </c>
      <c r="AM227">
        <f ca="1"/>
        <v>-15.965121956175594</v>
      </c>
      <c r="AR227">
        <f>$C$35</f>
        <v>40</v>
      </c>
      <c r="AS227" cm="1">
        <f t="array" aca="1" ref="AS227:AT227" ca="1">LINEST(AS225:AS226,AR225:AR226,1,0)</f>
        <v>13.236234585386995</v>
      </c>
      <c r="AT227">
        <f ca="1"/>
        <v>-6.5636311917753432</v>
      </c>
      <c r="AY227">
        <f>$C$35</f>
        <v>40</v>
      </c>
      <c r="AZ227" cm="1">
        <f t="array" aca="1" ref="AZ227:BA227" ca="1">LINEST(AZ225:AZ226,AY225:AY226,1,0)</f>
        <v>-39.572480640650987</v>
      </c>
      <c r="BA227">
        <f ca="1"/>
        <v>210.08588592778869</v>
      </c>
      <c r="BF227">
        <f>$C$35</f>
        <v>40</v>
      </c>
      <c r="BG227" cm="1">
        <f t="array" aca="1" ref="BG227:BH227" ca="1">LINEST(BG225:BG226,BF225:BF226,1,0)</f>
        <v>-291.96174970085298</v>
      </c>
      <c r="BH227">
        <f ca="1"/>
        <v>1239.9795723501372</v>
      </c>
      <c r="BM227">
        <f>$C$35</f>
        <v>40</v>
      </c>
      <c r="BN227" cm="1">
        <f t="array" aca="1" ref="BN227:BO227" ca="1">LINEST(BN225:BN226,BM225:BM226,1,0)</f>
        <v>-18391.448242479695</v>
      </c>
      <c r="BO227">
        <f ca="1"/>
        <v>74997.450481218242</v>
      </c>
      <c r="BT227">
        <f>$C$35</f>
        <v>40</v>
      </c>
      <c r="BU227" cm="1">
        <f t="array" aca="1" ref="BU227:BV227" ca="1">LINEST(BU225:BU226,BT225:BT226,1,0)</f>
        <v>-51315.98313627563</v>
      </c>
      <c r="BV227">
        <f ca="1"/>
        <v>209166.10965358125</v>
      </c>
      <c r="CV227" s="157"/>
    </row>
    <row r="228" spans="2:140" x14ac:dyDescent="0.25">
      <c r="B228" t="s">
        <v>640</v>
      </c>
      <c r="C228">
        <f ca="1">C227*LN(B227)+D227+C215+1.3</f>
        <v>41.7985135809909</v>
      </c>
      <c r="I228" t="s">
        <v>640</v>
      </c>
      <c r="J228">
        <f ca="1">J227*LN(I227)+K227+J215+1.3</f>
        <v>41.244081872151561</v>
      </c>
      <c r="P228" t="s">
        <v>640</v>
      </c>
      <c r="Q228">
        <f ca="1">Q227*LN(P227)+R227+Q215+1.3</f>
        <v>40.604915299781979</v>
      </c>
      <c r="W228" t="s">
        <v>640</v>
      </c>
      <c r="X228">
        <f ca="1">X227*LN(W227)+Y227+X215+1.3</f>
        <v>39.941086831999385</v>
      </c>
      <c r="AD228" t="s">
        <v>640</v>
      </c>
      <c r="AE228">
        <f ca="1">AE227*LN(AD227)+AF227+AE215+1.3</f>
        <v>39.066828666931187</v>
      </c>
      <c r="AK228" t="s">
        <v>640</v>
      </c>
      <c r="AL228">
        <f ca="1">AL227*LN(AK227)+AM227+AL215+1.3</f>
        <v>38.452740208370336</v>
      </c>
      <c r="AR228" t="s">
        <v>640</v>
      </c>
      <c r="AS228">
        <f ca="1">AS227*LN(AR227)+AT227+AS215+1.3</f>
        <v>39.253781436182294</v>
      </c>
      <c r="AY228" t="s">
        <v>640</v>
      </c>
      <c r="AZ228">
        <f ca="1">AZ227*LN(AY227)+BA227+AZ215+1.3</f>
        <v>60.204250802057281</v>
      </c>
      <c r="BF228" t="s">
        <v>640</v>
      </c>
      <c r="BG228">
        <f ca="1">BG227*LN(BF227)+BH227+BG215+1.3</f>
        <v>158.45330545842725</v>
      </c>
      <c r="BM228" t="s">
        <v>640</v>
      </c>
      <c r="BN228">
        <f ca="1">BN227*LN(BM227)+BO227+BN215+1.3</f>
        <v>7148.4877530965132</v>
      </c>
      <c r="BT228" t="s">
        <v>640</v>
      </c>
      <c r="BU228">
        <f ca="1">BU227*LN(BT227)+BV227+BU215+1.3</f>
        <v>19861.793180581288</v>
      </c>
      <c r="CV228" s="157"/>
    </row>
    <row r="229" spans="2:140" x14ac:dyDescent="0.25">
      <c r="B229" t="s">
        <v>641</v>
      </c>
      <c r="C229">
        <f ca="1">10*LOG(10^(C221/10)+10^(C228/10))</f>
        <v>41.83781919424986</v>
      </c>
      <c r="I229" t="s">
        <v>641</v>
      </c>
      <c r="J229">
        <f ca="1">10*LOG(10^(J221/10)+10^(J228/10))</f>
        <v>41.288712302843024</v>
      </c>
      <c r="P229" t="s">
        <v>641</v>
      </c>
      <c r="Q229">
        <f ca="1">10*LOG(10^(Q221/10)+10^(Q228/10))</f>
        <v>40.656580172420874</v>
      </c>
      <c r="W229" t="s">
        <v>641</v>
      </c>
      <c r="X229">
        <f ca="1">10*LOG(10^(X221/10)+10^(X228/10))</f>
        <v>40.001225473380003</v>
      </c>
      <c r="AD229" t="s">
        <v>641</v>
      </c>
      <c r="AE229">
        <f ca="1">10*LOG(10^(AE221/10)+10^(AE228/10))</f>
        <v>39.140265311436899</v>
      </c>
      <c r="AK229" t="s">
        <v>641</v>
      </c>
      <c r="AL229">
        <f ca="1">10*LOG(10^(AL221/10)+10^(AL228/10))</f>
        <v>38.537222890857208</v>
      </c>
      <c r="AR229" t="s">
        <v>641</v>
      </c>
      <c r="AS229">
        <f ca="1">10*LOG(10^(AS221/10)+10^(AS228/10))</f>
        <v>39.324148824746544</v>
      </c>
      <c r="AY229" t="s">
        <v>641</v>
      </c>
      <c r="AZ229">
        <f ca="1">10*LOG(10^(AZ221/10)+10^(AZ228/10))</f>
        <v>60.204820728911422</v>
      </c>
      <c r="BF229" t="s">
        <v>641</v>
      </c>
      <c r="BG229">
        <f ca="1">10*LOG(10^(BG221/10)+10^(BG228/10))</f>
        <v>158.45330545842734</v>
      </c>
      <c r="BM229" t="s">
        <v>641</v>
      </c>
      <c r="BN229" t="e">
        <f ca="1">10*LOG(10^(BN221/10)+10^(BN228/10))</f>
        <v>#NUM!</v>
      </c>
      <c r="BT229" t="s">
        <v>641</v>
      </c>
      <c r="BU229" t="e">
        <f ca="1">10*LOG(10^(BU221/10)+10^(BU228/10))</f>
        <v>#NUM!</v>
      </c>
      <c r="CV229" s="157"/>
    </row>
    <row r="230" spans="2:140" x14ac:dyDescent="0.25">
      <c r="CV230" s="157"/>
    </row>
    <row r="231" spans="2:140" x14ac:dyDescent="0.25">
      <c r="B231" t="s">
        <v>27</v>
      </c>
      <c r="C231" s="10">
        <f ca="1">10*LOG(10^(C221/10)+10^(C228/10))</f>
        <v>41.83781919424986</v>
      </c>
      <c r="D231" t="s">
        <v>157</v>
      </c>
      <c r="E231" s="13"/>
      <c r="G231" s="13"/>
      <c r="I231" t="s">
        <v>27</v>
      </c>
      <c r="J231" s="10">
        <f ca="1">10*LOG(10^(J221/10)+10^(J228/10))</f>
        <v>41.288712302843024</v>
      </c>
      <c r="K231" t="s">
        <v>157</v>
      </c>
      <c r="L231" s="13"/>
      <c r="N231" s="13"/>
      <c r="P231" t="s">
        <v>27</v>
      </c>
      <c r="Q231" s="10">
        <f ca="1">10*LOG(10^(Q221/10)+10^(Q228/10))</f>
        <v>40.656580172420874</v>
      </c>
      <c r="R231" t="s">
        <v>157</v>
      </c>
      <c r="S231" s="13"/>
      <c r="U231" s="13"/>
      <c r="W231" t="s">
        <v>27</v>
      </c>
      <c r="X231" s="10">
        <f ca="1">10*LOG(10^(X221/10)+10^(X228/10))</f>
        <v>40.001225473380003</v>
      </c>
      <c r="Y231" t="s">
        <v>157</v>
      </c>
      <c r="Z231" s="13"/>
      <c r="AB231" s="13"/>
      <c r="AD231" t="s">
        <v>27</v>
      </c>
      <c r="AE231" s="10">
        <f ca="1">10*LOG(10^(AE221/10)+10^(AE228/10))</f>
        <v>39.140265311436899</v>
      </c>
      <c r="AF231" t="s">
        <v>157</v>
      </c>
      <c r="AG231" s="13"/>
      <c r="AI231" s="13"/>
      <c r="AK231" t="s">
        <v>27</v>
      </c>
      <c r="AL231" s="10">
        <f ca="1">10*LOG(10^(AL221/10)+10^(AL228/10))</f>
        <v>38.537222890857208</v>
      </c>
      <c r="AM231" t="s">
        <v>157</v>
      </c>
      <c r="AN231" s="13"/>
      <c r="AP231" s="13"/>
      <c r="AR231" t="s">
        <v>27</v>
      </c>
      <c r="AS231" s="10">
        <f ca="1">10*LOG(10^(AS221/10)+10^(AS228/10))</f>
        <v>39.324148824746544</v>
      </c>
      <c r="AT231" t="s">
        <v>157</v>
      </c>
      <c r="AU231" s="13"/>
      <c r="AW231" s="13"/>
      <c r="AY231" t="s">
        <v>27</v>
      </c>
      <c r="AZ231" s="10">
        <f ca="1">10*LOG(10^(AZ221/10)+10^(AZ228/10))</f>
        <v>60.204820728911422</v>
      </c>
      <c r="BA231" t="s">
        <v>157</v>
      </c>
      <c r="BB231" s="13"/>
      <c r="BD231" s="13"/>
      <c r="BF231" t="s">
        <v>27</v>
      </c>
      <c r="BG231" s="10">
        <f ca="1">10*LOG(10^(BG221/10)+10^(BG228/10))</f>
        <v>158.45330545842734</v>
      </c>
      <c r="BH231" t="s">
        <v>157</v>
      </c>
      <c r="BI231" s="13"/>
      <c r="BK231" s="13"/>
      <c r="BM231" t="s">
        <v>27</v>
      </c>
      <c r="BN231" s="10" t="e">
        <f ca="1">10*LOG(10^(BN221/10)+10^(BN228/10))</f>
        <v>#NUM!</v>
      </c>
      <c r="BO231" t="s">
        <v>157</v>
      </c>
      <c r="BP231" s="13"/>
      <c r="BR231" s="13"/>
      <c r="BT231" t="s">
        <v>27</v>
      </c>
      <c r="BU231" s="10" t="e">
        <f ca="1">10*LOG(10^(BU221/10)+10^(BU228/10))</f>
        <v>#NUM!</v>
      </c>
      <c r="BV231" t="s">
        <v>157</v>
      </c>
      <c r="BW231" s="13"/>
      <c r="BY231" s="13"/>
      <c r="CB231" s="10"/>
      <c r="CI231" s="10"/>
      <c r="CP231" s="10"/>
      <c r="CV231" s="157"/>
      <c r="CW231" s="10"/>
      <c r="DD231" s="10"/>
      <c r="DK231" s="10"/>
      <c r="DR231" s="10"/>
      <c r="DY231" s="10"/>
      <c r="EF231" s="10"/>
    </row>
    <row r="232" spans="2:140" x14ac:dyDescent="0.25">
      <c r="B232" t="s">
        <v>28</v>
      </c>
      <c r="C232" s="10">
        <f ca="1">C231-15</f>
        <v>26.83781919424986</v>
      </c>
      <c r="D232" t="s">
        <v>163</v>
      </c>
      <c r="I232" t="s">
        <v>28</v>
      </c>
      <c r="J232">
        <f ca="1">J231-15</f>
        <v>26.288712302843024</v>
      </c>
      <c r="P232" t="s">
        <v>28</v>
      </c>
      <c r="Q232">
        <f ca="1">Q231-15</f>
        <v>25.656580172420874</v>
      </c>
      <c r="W232" t="s">
        <v>28</v>
      </c>
      <c r="X232">
        <f ca="1">X231-15</f>
        <v>25.001225473380003</v>
      </c>
      <c r="AD232" t="s">
        <v>28</v>
      </c>
      <c r="AE232">
        <f ca="1">AE231-15</f>
        <v>24.140265311436899</v>
      </c>
      <c r="AK232" t="s">
        <v>28</v>
      </c>
      <c r="AL232">
        <f ca="1">AL231-15</f>
        <v>23.537222890857208</v>
      </c>
      <c r="AR232" t="s">
        <v>28</v>
      </c>
      <c r="AS232">
        <f ca="1">AS231-15</f>
        <v>24.324148824746544</v>
      </c>
      <c r="AY232" t="s">
        <v>28</v>
      </c>
      <c r="AZ232">
        <f ca="1">AZ231-15</f>
        <v>45.204820728911422</v>
      </c>
      <c r="BF232" t="s">
        <v>28</v>
      </c>
      <c r="BG232">
        <f ca="1">BG231-15</f>
        <v>143.45330545842734</v>
      </c>
      <c r="BM232" t="s">
        <v>28</v>
      </c>
      <c r="BN232" t="e">
        <f ca="1">BN231-15</f>
        <v>#NUM!</v>
      </c>
      <c r="BT232" t="s">
        <v>28</v>
      </c>
      <c r="BU232" t="e">
        <f ca="1">BU231-15</f>
        <v>#NUM!</v>
      </c>
      <c r="CV232" s="157"/>
    </row>
    <row r="233" spans="2:140" x14ac:dyDescent="0.25">
      <c r="AY233" s="157"/>
      <c r="CV233" s="157"/>
    </row>
    <row r="234" spans="2:140" x14ac:dyDescent="0.25">
      <c r="B234" t="s">
        <v>392</v>
      </c>
      <c r="D234" t="s">
        <v>157</v>
      </c>
      <c r="AY234" s="157"/>
      <c r="CV234" s="157"/>
    </row>
    <row r="235" spans="2:140" x14ac:dyDescent="0.25">
      <c r="B235" t="s">
        <v>393</v>
      </c>
      <c r="D235" t="s">
        <v>157</v>
      </c>
      <c r="AY235" s="157"/>
      <c r="CV235" s="157"/>
    </row>
    <row r="236" spans="2:140" x14ac:dyDescent="0.25">
      <c r="B236" t="s">
        <v>396</v>
      </c>
      <c r="D236" t="s">
        <v>395</v>
      </c>
      <c r="AY236" s="157"/>
      <c r="CV236" s="157"/>
    </row>
    <row r="237" spans="2:140" x14ac:dyDescent="0.25">
      <c r="B237" t="s">
        <v>394</v>
      </c>
      <c r="D237" t="s">
        <v>157</v>
      </c>
      <c r="AY237" s="157"/>
      <c r="CV237" s="157"/>
    </row>
    <row r="238" spans="2:140" x14ac:dyDescent="0.25">
      <c r="AY238" s="157"/>
      <c r="CV238" s="157"/>
    </row>
    <row r="239" spans="2:140" x14ac:dyDescent="0.25">
      <c r="B239" s="199" t="s">
        <v>21</v>
      </c>
      <c r="I239" s="1" t="s">
        <v>21</v>
      </c>
      <c r="P239" s="1" t="s">
        <v>21</v>
      </c>
      <c r="W239" s="1" t="s">
        <v>21</v>
      </c>
      <c r="AD239" s="1" t="s">
        <v>21</v>
      </c>
      <c r="AK239" s="1" t="s">
        <v>21</v>
      </c>
      <c r="AR239" s="1" t="s">
        <v>21</v>
      </c>
      <c r="AY239" s="160" t="s">
        <v>21</v>
      </c>
      <c r="CV239" s="157"/>
    </row>
    <row r="240" spans="2:140" x14ac:dyDescent="0.25">
      <c r="B240" t="s">
        <v>29</v>
      </c>
      <c r="C240" s="10">
        <f>-0.0000902*$C$14^2+0.0577*$C$14+-0.451</f>
        <v>4.4170000000000007</v>
      </c>
      <c r="E240" s="13"/>
      <c r="F240" s="13"/>
      <c r="G240" s="13"/>
      <c r="I240" t="s">
        <v>29</v>
      </c>
      <c r="J240" s="10">
        <f t="shared" ref="J240" si="210">-0.0000902*$C$14^2+0.0577*$C$14+-0.451</f>
        <v>4.4170000000000007</v>
      </c>
      <c r="L240" s="13"/>
      <c r="M240" s="13"/>
      <c r="N240" s="13"/>
      <c r="P240" t="s">
        <v>29</v>
      </c>
      <c r="Q240" s="10">
        <f t="shared" ref="Q240" si="211">-0.0000902*$C$14^2+0.0577*$C$14+-0.451</f>
        <v>4.4170000000000007</v>
      </c>
      <c r="S240" s="13"/>
      <c r="T240" s="13"/>
      <c r="U240" s="13"/>
      <c r="W240" t="s">
        <v>29</v>
      </c>
      <c r="X240" s="10">
        <f t="shared" ref="X240" si="212">-0.0000902*$C$14^2+0.0577*$C$14+-0.451</f>
        <v>4.4170000000000007</v>
      </c>
      <c r="Z240" s="13"/>
      <c r="AA240" s="13"/>
      <c r="AB240" s="13"/>
      <c r="AD240" t="s">
        <v>29</v>
      </c>
      <c r="AE240" s="10">
        <f t="shared" ref="AE240" si="213">-0.0000902*$C$14^2+0.0577*$C$14+-0.451</f>
        <v>4.4170000000000007</v>
      </c>
      <c r="AG240" s="13"/>
      <c r="AH240" s="13"/>
      <c r="AI240" s="13"/>
      <c r="AK240" t="s">
        <v>29</v>
      </c>
      <c r="AL240" s="10">
        <f t="shared" ref="AL240" si="214">-0.0000902*$C$14^2+0.0577*$C$14+-0.451</f>
        <v>4.4170000000000007</v>
      </c>
      <c r="AN240" s="13"/>
      <c r="AO240" s="13"/>
      <c r="AP240" s="13"/>
      <c r="AR240" t="s">
        <v>29</v>
      </c>
      <c r="AS240" s="10">
        <f t="shared" ref="AS240" si="215">-0.0000902*$C$14^2+0.0577*$C$14+-0.451</f>
        <v>4.4170000000000007</v>
      </c>
      <c r="AU240" s="13"/>
      <c r="AV240" s="13"/>
      <c r="AW240" s="13"/>
      <c r="AY240" t="s">
        <v>29</v>
      </c>
      <c r="AZ240" s="10">
        <f t="shared" ref="AZ240" si="216">-0.0000902*$C$14^2+0.0577*$C$14+-0.451</f>
        <v>4.4170000000000007</v>
      </c>
      <c r="BB240" s="13"/>
      <c r="BC240" s="13"/>
      <c r="BD240" s="13"/>
      <c r="BF240" t="s">
        <v>29</v>
      </c>
      <c r="BG240" s="10">
        <f t="shared" ref="BG240" si="217">-0.0000902*$C$14^2+0.0577*$C$14+-0.451</f>
        <v>4.4170000000000007</v>
      </c>
      <c r="BI240" s="13"/>
      <c r="BJ240" s="13"/>
      <c r="BK240" s="13"/>
      <c r="BM240" t="s">
        <v>29</v>
      </c>
      <c r="BN240" s="10">
        <f t="shared" ref="BN240" si="218">-0.0000902*$C$14^2+0.0577*$C$14+-0.451</f>
        <v>4.4170000000000007</v>
      </c>
      <c r="BP240" s="13"/>
      <c r="BQ240" s="13"/>
      <c r="BR240" s="13"/>
      <c r="BT240" t="s">
        <v>29</v>
      </c>
      <c r="BU240" s="10">
        <f t="shared" ref="BU240" si="219">-0.0000902*$C$14^2+0.0577*$C$14+-0.451</f>
        <v>4.4170000000000007</v>
      </c>
      <c r="BW240" s="13"/>
      <c r="BX240" s="13"/>
      <c r="BY240" s="13"/>
      <c r="CB240" s="10"/>
      <c r="CD240" s="13"/>
      <c r="CE240" s="13"/>
      <c r="CF240" s="13"/>
      <c r="CI240" s="10"/>
      <c r="CK240" s="13"/>
      <c r="CL240" s="13"/>
      <c r="CM240" s="13"/>
      <c r="CP240" s="10"/>
      <c r="CR240" s="13"/>
      <c r="CS240" s="13"/>
      <c r="CT240" s="13"/>
      <c r="CV240" s="157"/>
      <c r="CW240" s="10"/>
      <c r="CY240" s="13"/>
      <c r="CZ240" s="13"/>
      <c r="DA240" s="13"/>
      <c r="DD240" s="10"/>
      <c r="DF240" s="13"/>
      <c r="DG240" s="13"/>
      <c r="DH240" s="13"/>
      <c r="DK240" s="10"/>
      <c r="DM240" s="13"/>
      <c r="DN240" s="13"/>
      <c r="DO240" s="13"/>
      <c r="DR240" s="10"/>
      <c r="DT240" s="13"/>
      <c r="DU240" s="13"/>
      <c r="DV240" s="13"/>
      <c r="DY240" s="10"/>
      <c r="EA240" s="13"/>
      <c r="EB240" s="13"/>
      <c r="EC240" s="13"/>
      <c r="EF240" s="10"/>
      <c r="EH240" s="13"/>
      <c r="EI240" s="13"/>
      <c r="EJ240" s="13"/>
    </row>
    <row r="241" spans="1:144" x14ac:dyDescent="0.25">
      <c r="B241" t="s">
        <v>229</v>
      </c>
      <c r="C241" s="10">
        <f>0.0333*C240+2.1</f>
        <v>2.2470861000000002</v>
      </c>
      <c r="F241" s="13"/>
      <c r="I241" t="s">
        <v>229</v>
      </c>
      <c r="J241" s="10">
        <f>0.0333*J240+2.1</f>
        <v>2.2470861000000002</v>
      </c>
      <c r="M241" s="13"/>
      <c r="P241" t="s">
        <v>229</v>
      </c>
      <c r="Q241" s="10">
        <f>0.0333*Q240+2.1</f>
        <v>2.2470861000000002</v>
      </c>
      <c r="T241" s="13"/>
      <c r="W241" t="s">
        <v>229</v>
      </c>
      <c r="X241" s="10">
        <f>0.0333*X240+2.1</f>
        <v>2.2470861000000002</v>
      </c>
      <c r="AA241" s="13"/>
      <c r="AD241" t="s">
        <v>229</v>
      </c>
      <c r="AE241" s="10">
        <f>0.0333*AE240+2.1</f>
        <v>2.2470861000000002</v>
      </c>
      <c r="AH241" s="13"/>
      <c r="AK241" t="s">
        <v>229</v>
      </c>
      <c r="AL241" s="10">
        <f>0.0333*AL240+2.1</f>
        <v>2.2470861000000002</v>
      </c>
      <c r="AO241" s="13"/>
      <c r="AR241" t="s">
        <v>229</v>
      </c>
      <c r="AS241" s="10">
        <f>0.0333*AS240+2.1</f>
        <v>2.2470861000000002</v>
      </c>
      <c r="AV241" s="13"/>
      <c r="AY241" s="157" t="s">
        <v>229</v>
      </c>
      <c r="AZ241" s="10">
        <f>0.0333*AZ240+2.2</f>
        <v>2.3470861000000003</v>
      </c>
      <c r="BC241" s="13"/>
      <c r="BF241" t="s">
        <v>30</v>
      </c>
      <c r="BG241" s="10">
        <f>BG240*BJ241+BK241</f>
        <v>2.3470861000000003</v>
      </c>
      <c r="BJ241" s="13">
        <v>3.3300000000000003E-2</v>
      </c>
      <c r="BK241">
        <v>2.2000000000000002</v>
      </c>
      <c r="BM241" t="s">
        <v>30</v>
      </c>
      <c r="BN241" s="10">
        <f>BN240*BQ241+BR241</f>
        <v>2.3470861000000003</v>
      </c>
      <c r="BQ241" s="13">
        <v>3.3300000000000003E-2</v>
      </c>
      <c r="BR241">
        <v>2.2000000000000002</v>
      </c>
      <c r="BT241" t="s">
        <v>30</v>
      </c>
      <c r="BU241" s="10">
        <f>BU240*BX241+BY241</f>
        <v>2.3470861000000003</v>
      </c>
      <c r="BX241" s="13">
        <v>3.3300000000000003E-2</v>
      </c>
      <c r="BY241">
        <v>2.2000000000000002</v>
      </c>
      <c r="CB241" s="10"/>
      <c r="CE241" s="13"/>
      <c r="CI241" s="10"/>
      <c r="CL241" s="13"/>
      <c r="CP241" s="10"/>
      <c r="CS241" s="13"/>
      <c r="CV241" s="157"/>
      <c r="CW241" s="10"/>
      <c r="CZ241" s="13"/>
      <c r="DD241" s="10"/>
      <c r="DG241" s="13"/>
      <c r="DK241" s="10"/>
      <c r="DN241" s="13"/>
      <c r="DR241" s="10"/>
      <c r="DU241" s="13"/>
      <c r="DY241" s="10"/>
      <c r="EB241" s="13"/>
      <c r="EF241" s="10"/>
      <c r="EI241" s="13"/>
    </row>
    <row r="242" spans="1:144" x14ac:dyDescent="0.25">
      <c r="B242" t="s">
        <v>19</v>
      </c>
      <c r="F242" s="13"/>
      <c r="G242" s="13"/>
      <c r="I242" t="s">
        <v>19</v>
      </c>
      <c r="M242" s="13"/>
      <c r="N242" s="13"/>
      <c r="AY242" s="157" t="s">
        <v>19</v>
      </c>
      <c r="BC242" s="13"/>
      <c r="BD242" s="13"/>
      <c r="BF242" t="s">
        <v>19</v>
      </c>
      <c r="BJ242" s="13"/>
      <c r="BK242" s="13"/>
      <c r="BM242" t="s">
        <v>19</v>
      </c>
      <c r="BQ242" s="13"/>
      <c r="BR242" s="13"/>
      <c r="BT242" t="s">
        <v>19</v>
      </c>
      <c r="BX242" s="13"/>
      <c r="BY242" s="13"/>
      <c r="CE242" s="13"/>
      <c r="CF242" s="13"/>
      <c r="CL242" s="13"/>
      <c r="CM242" s="13"/>
      <c r="CS242" s="13"/>
      <c r="CT242" s="13"/>
      <c r="CV242" s="157"/>
      <c r="CZ242" s="13"/>
      <c r="DA242" s="13"/>
      <c r="DG242" s="13"/>
      <c r="DH242" s="13"/>
      <c r="DN242" s="13"/>
      <c r="DO242" s="13"/>
      <c r="DU242" s="13"/>
      <c r="DV242" s="13"/>
      <c r="EB242" s="13"/>
      <c r="EC242" s="13"/>
      <c r="EI242" s="13"/>
      <c r="EJ242" s="13"/>
    </row>
    <row r="243" spans="1:144" x14ac:dyDescent="0.25">
      <c r="B243" t="s">
        <v>30</v>
      </c>
      <c r="C243" s="161">
        <v>0.95</v>
      </c>
      <c r="D243" s="10">
        <f>D244+0.1</f>
        <v>2.3470861000000003</v>
      </c>
      <c r="I243" t="s">
        <v>30</v>
      </c>
      <c r="J243" s="161">
        <v>0.95</v>
      </c>
      <c r="K243" s="10">
        <f>K244+0.1</f>
        <v>2.3470861000000003</v>
      </c>
      <c r="P243" t="s">
        <v>30</v>
      </c>
      <c r="Q243" s="161">
        <v>0.95</v>
      </c>
      <c r="R243" s="10">
        <f>R244+0.1</f>
        <v>2.3470861000000003</v>
      </c>
      <c r="W243" t="s">
        <v>30</v>
      </c>
      <c r="X243" s="161">
        <v>0.95</v>
      </c>
      <c r="Y243" s="10">
        <f>Y244+0.1</f>
        <v>2.3470861000000003</v>
      </c>
      <c r="AD243" t="s">
        <v>30</v>
      </c>
      <c r="AE243" s="161">
        <v>0.95</v>
      </c>
      <c r="AF243" s="10">
        <f>AF244+0.1</f>
        <v>2.3470861000000003</v>
      </c>
      <c r="AK243" t="s">
        <v>30</v>
      </c>
      <c r="AL243" s="161">
        <v>0.95</v>
      </c>
      <c r="AM243" s="10">
        <f>AM244+0.1</f>
        <v>2.3470861000000003</v>
      </c>
      <c r="AR243" t="s">
        <v>30</v>
      </c>
      <c r="AS243" s="161">
        <v>0.95</v>
      </c>
      <c r="AT243" s="10">
        <f>AT244+0.1</f>
        <v>2.3470861000000003</v>
      </c>
      <c r="AY243" t="s">
        <v>30</v>
      </c>
      <c r="AZ243" s="161">
        <v>0.95</v>
      </c>
      <c r="BA243" s="10">
        <f>BA244+0.1</f>
        <v>2.4470861000000004</v>
      </c>
      <c r="BF243" t="s">
        <v>30</v>
      </c>
      <c r="BG243" s="161">
        <v>0.95</v>
      </c>
      <c r="BH243" s="10">
        <f>BH244+0.1</f>
        <v>2.4470861000000004</v>
      </c>
      <c r="BM243" t="s">
        <v>30</v>
      </c>
      <c r="BN243" s="161">
        <v>0.95</v>
      </c>
      <c r="BO243" s="10">
        <f>BO244+0.1</f>
        <v>2.4470861000000004</v>
      </c>
      <c r="BT243" t="s">
        <v>30</v>
      </c>
      <c r="BU243" s="161">
        <v>0.95</v>
      </c>
      <c r="BV243" s="10">
        <f>BV244+0.1</f>
        <v>2.4470861000000004</v>
      </c>
      <c r="CB243" s="161"/>
      <c r="CC243" s="10"/>
      <c r="CI243" s="161"/>
      <c r="CJ243" s="10"/>
      <c r="CP243" s="161"/>
      <c r="CQ243" s="10"/>
      <c r="CW243" s="161"/>
      <c r="CX243" s="10"/>
      <c r="DD243" s="161"/>
      <c r="DE243" s="10"/>
      <c r="DK243" s="161"/>
      <c r="DL243" s="10"/>
      <c r="DR243" s="161"/>
      <c r="DS243" s="10"/>
      <c r="DY243" s="161"/>
      <c r="DZ243" s="10"/>
      <c r="EF243" s="161"/>
      <c r="EG243" s="10"/>
    </row>
    <row r="244" spans="1:144" x14ac:dyDescent="0.25">
      <c r="C244" s="161">
        <v>0.9</v>
      </c>
      <c r="D244" s="10">
        <f>C241</f>
        <v>2.2470861000000002</v>
      </c>
      <c r="J244" s="161">
        <v>0.9</v>
      </c>
      <c r="K244" s="10">
        <f>J241</f>
        <v>2.2470861000000002</v>
      </c>
      <c r="Q244" s="161">
        <v>0.9</v>
      </c>
      <c r="R244" s="10">
        <f>Q241</f>
        <v>2.2470861000000002</v>
      </c>
      <c r="X244" s="161">
        <v>0.9</v>
      </c>
      <c r="Y244" s="10">
        <f>X241</f>
        <v>2.2470861000000002</v>
      </c>
      <c r="AE244" s="161">
        <v>0.9</v>
      </c>
      <c r="AF244" s="10">
        <f>AE241</f>
        <v>2.2470861000000002</v>
      </c>
      <c r="AL244" s="161">
        <v>0.9</v>
      </c>
      <c r="AM244" s="10">
        <f>AL241</f>
        <v>2.2470861000000002</v>
      </c>
      <c r="AS244" s="161">
        <v>0.9</v>
      </c>
      <c r="AT244" s="10">
        <f>AS241</f>
        <v>2.2470861000000002</v>
      </c>
      <c r="AZ244" s="161">
        <v>0.9</v>
      </c>
      <c r="BA244" s="10">
        <f>AZ241</f>
        <v>2.3470861000000003</v>
      </c>
      <c r="BG244" s="161">
        <v>0.9</v>
      </c>
      <c r="BH244" s="10">
        <f>BG241</f>
        <v>2.3470861000000003</v>
      </c>
      <c r="BN244" s="161">
        <v>0.9</v>
      </c>
      <c r="BO244" s="10">
        <f>BN241</f>
        <v>2.3470861000000003</v>
      </c>
      <c r="BU244" s="161">
        <v>0.9</v>
      </c>
      <c r="BV244" s="10">
        <f>BU241</f>
        <v>2.3470861000000003</v>
      </c>
      <c r="CB244" s="161"/>
      <c r="CC244" s="10"/>
      <c r="CI244" s="161"/>
      <c r="CJ244" s="10"/>
      <c r="CP244" s="161"/>
      <c r="CQ244" s="10"/>
      <c r="CW244" s="161"/>
      <c r="CX244" s="10"/>
      <c r="DD244" s="161"/>
      <c r="DE244" s="10"/>
      <c r="DK244" s="161"/>
      <c r="DL244" s="10"/>
      <c r="DR244" s="161"/>
      <c r="DS244" s="10"/>
      <c r="DY244" s="161"/>
      <c r="DZ244" s="10"/>
      <c r="EF244" s="161"/>
      <c r="EG244" s="10"/>
    </row>
    <row r="245" spans="1:144" x14ac:dyDescent="0.25">
      <c r="C245" s="161">
        <v>0.85</v>
      </c>
      <c r="D245" s="10">
        <f>D244-0.05</f>
        <v>2.1970861000000004</v>
      </c>
      <c r="J245" s="161">
        <v>0.85</v>
      </c>
      <c r="K245" s="10">
        <f>K244-0.05</f>
        <v>2.1970861000000004</v>
      </c>
      <c r="Q245" s="161">
        <v>0.85</v>
      </c>
      <c r="R245" s="10">
        <f>R244-0.05</f>
        <v>2.1970861000000004</v>
      </c>
      <c r="X245" s="161">
        <v>0.85</v>
      </c>
      <c r="Y245" s="10">
        <f>Y244-0.05</f>
        <v>2.1970861000000004</v>
      </c>
      <c r="AE245" s="161">
        <v>0.85</v>
      </c>
      <c r="AF245" s="10">
        <f>AF244-0.05</f>
        <v>2.1970861000000004</v>
      </c>
      <c r="AL245" s="161">
        <v>0.85</v>
      </c>
      <c r="AM245" s="10">
        <f>AM244-0.05</f>
        <v>2.1970861000000004</v>
      </c>
      <c r="AS245" s="161">
        <v>0.85</v>
      </c>
      <c r="AT245" s="10">
        <f>AT244-0.05</f>
        <v>2.1970861000000004</v>
      </c>
      <c r="AZ245" s="161">
        <v>0.85</v>
      </c>
      <c r="BA245" s="10">
        <f>BA244-0.05</f>
        <v>2.2970861000000005</v>
      </c>
      <c r="BG245" s="161">
        <v>0.85</v>
      </c>
      <c r="BH245" s="10">
        <f>BH244-0.05</f>
        <v>2.2970861000000005</v>
      </c>
      <c r="BN245" s="161">
        <v>0.85</v>
      </c>
      <c r="BO245" s="10">
        <f>BO244-0.05</f>
        <v>2.2970861000000005</v>
      </c>
      <c r="BU245" s="161">
        <v>0.85</v>
      </c>
      <c r="BV245" s="10">
        <f>BV244-0.05</f>
        <v>2.2970861000000005</v>
      </c>
      <c r="CB245" s="161"/>
      <c r="CC245" s="10"/>
      <c r="CI245" s="161"/>
      <c r="CJ245" s="10"/>
      <c r="CP245" s="161"/>
      <c r="CQ245" s="10"/>
      <c r="CW245" s="161"/>
      <c r="CX245" s="10"/>
      <c r="DD245" s="161"/>
      <c r="DE245" s="10"/>
      <c r="DK245" s="161"/>
      <c r="DL245" s="10"/>
      <c r="DR245" s="161"/>
      <c r="DS245" s="10"/>
      <c r="DY245" s="161"/>
      <c r="DZ245" s="10"/>
      <c r="EF245" s="161"/>
      <c r="EG245" s="10"/>
    </row>
    <row r="246" spans="1:144" x14ac:dyDescent="0.25">
      <c r="C246" s="161">
        <v>0.8</v>
      </c>
      <c r="D246" s="10">
        <f>D244-0.1</f>
        <v>2.1470861000000001</v>
      </c>
      <c r="J246" s="161">
        <v>0.8</v>
      </c>
      <c r="K246" s="10">
        <f>K244-0.1</f>
        <v>2.1470861000000001</v>
      </c>
      <c r="Q246" s="161">
        <v>0.8</v>
      </c>
      <c r="R246" s="10">
        <f>R244-0.1</f>
        <v>2.1470861000000001</v>
      </c>
      <c r="X246" s="161">
        <v>0.8</v>
      </c>
      <c r="Y246" s="10">
        <f>Y244-0.1</f>
        <v>2.1470861000000001</v>
      </c>
      <c r="AE246" s="161">
        <v>0.8</v>
      </c>
      <c r="AF246" s="10">
        <f>AF244-0.1</f>
        <v>2.1470861000000001</v>
      </c>
      <c r="AL246" s="161">
        <v>0.8</v>
      </c>
      <c r="AM246" s="10">
        <f>AM244-0.1</f>
        <v>2.1470861000000001</v>
      </c>
      <c r="AS246" s="161">
        <v>0.8</v>
      </c>
      <c r="AT246" s="10">
        <f>AT244-0.1</f>
        <v>2.1470861000000001</v>
      </c>
      <c r="AZ246" s="161">
        <v>0.8</v>
      </c>
      <c r="BA246" s="10">
        <f>BA244-0.1</f>
        <v>2.2470861000000002</v>
      </c>
      <c r="BG246" s="161">
        <v>0.8</v>
      </c>
      <c r="BH246" s="10">
        <f>BH244-0.1</f>
        <v>2.2470861000000002</v>
      </c>
      <c r="BN246" s="161">
        <v>0.8</v>
      </c>
      <c r="BO246" s="10">
        <f>BO244-0.1</f>
        <v>2.2470861000000002</v>
      </c>
      <c r="BU246" s="161">
        <v>0.8</v>
      </c>
      <c r="BV246" s="10">
        <f>BV244-0.1</f>
        <v>2.2470861000000002</v>
      </c>
      <c r="CB246" s="161"/>
      <c r="CC246" s="10"/>
      <c r="CI246" s="161"/>
      <c r="CJ246" s="10"/>
      <c r="CP246" s="161"/>
      <c r="CQ246" s="10"/>
      <c r="CW246" s="161"/>
      <c r="CX246" s="10"/>
      <c r="DD246" s="161"/>
      <c r="DE246" s="10"/>
      <c r="DK246" s="161"/>
      <c r="DL246" s="10"/>
      <c r="DR246" s="161"/>
      <c r="DS246" s="10"/>
      <c r="DY246" s="161"/>
      <c r="DZ246" s="10"/>
      <c r="EF246" s="161"/>
      <c r="EG246" s="10"/>
      <c r="EN246" s="10"/>
    </row>
    <row r="247" spans="1:144" x14ac:dyDescent="0.25">
      <c r="C247" s="172">
        <v>0.7</v>
      </c>
      <c r="D247" s="173">
        <f>D244-0.2</f>
        <v>2.0470861</v>
      </c>
      <c r="J247" s="172">
        <v>0.7</v>
      </c>
      <c r="K247" s="173">
        <f>K244-0.2</f>
        <v>2.0470861</v>
      </c>
      <c r="Q247" s="172">
        <v>0.7</v>
      </c>
      <c r="R247" s="173">
        <f>R244-0.2</f>
        <v>2.0470861</v>
      </c>
      <c r="X247" s="172">
        <v>0.7</v>
      </c>
      <c r="Y247" s="173">
        <f>Y244-0.2</f>
        <v>2.0470861</v>
      </c>
      <c r="AE247" s="172">
        <v>0.7</v>
      </c>
      <c r="AF247" s="173">
        <f>AF244-0.2</f>
        <v>2.0470861</v>
      </c>
      <c r="AL247" s="172">
        <v>0.7</v>
      </c>
      <c r="AM247" s="173">
        <f>AM244-0.2</f>
        <v>2.0470861</v>
      </c>
      <c r="AS247" s="172">
        <v>0.7</v>
      </c>
      <c r="AT247" s="173">
        <f>AT244-0.2</f>
        <v>2.0470861</v>
      </c>
      <c r="AZ247" s="172">
        <v>0.7</v>
      </c>
      <c r="BA247" s="173">
        <f>BA244-0.2</f>
        <v>2.1470861000000001</v>
      </c>
      <c r="BG247" s="172">
        <v>0.7</v>
      </c>
      <c r="BH247" s="173">
        <f>BH244-0.2</f>
        <v>2.1470861000000001</v>
      </c>
      <c r="BN247" s="172">
        <v>0.7</v>
      </c>
      <c r="BO247" s="173">
        <f>BO244-0.2</f>
        <v>2.1470861000000001</v>
      </c>
      <c r="BU247" s="172">
        <v>0.7</v>
      </c>
      <c r="BV247" s="173">
        <f>BV244-0.2</f>
        <v>2.1470861000000001</v>
      </c>
      <c r="CB247" s="172"/>
      <c r="CC247" s="173"/>
      <c r="CI247" s="172"/>
      <c r="CJ247" s="173"/>
      <c r="CP247" s="172"/>
      <c r="CQ247" s="173"/>
      <c r="CW247" s="172"/>
      <c r="CX247" s="173"/>
      <c r="DD247" s="172"/>
      <c r="DE247" s="173"/>
      <c r="DK247" s="172"/>
      <c r="DL247" s="173"/>
      <c r="DR247" s="172"/>
      <c r="DS247" s="173"/>
      <c r="DY247" s="172"/>
      <c r="DZ247" s="173"/>
      <c r="EF247" s="172"/>
      <c r="EG247" s="173"/>
      <c r="EN247" s="10"/>
    </row>
    <row r="248" spans="1:144" x14ac:dyDescent="0.25">
      <c r="B248" t="s">
        <v>21</v>
      </c>
      <c r="C248" s="10">
        <f>D248*$C$49</f>
        <v>2.2470861000000002</v>
      </c>
      <c r="D248" s="10">
        <f>VLOOKUP($C$23,C243:D247,2,0)</f>
        <v>2.2470861000000002</v>
      </c>
      <c r="E248" s="13"/>
      <c r="F248" s="13"/>
      <c r="G248" s="13"/>
      <c r="I248" t="s">
        <v>21</v>
      </c>
      <c r="J248" s="10">
        <f>K248*$C$49</f>
        <v>2.2470861000000002</v>
      </c>
      <c r="K248" s="10">
        <f>VLOOKUP($C$23,J243:K247,2,0)</f>
        <v>2.2470861000000002</v>
      </c>
      <c r="L248" s="13"/>
      <c r="M248" s="13"/>
      <c r="N248" s="13"/>
      <c r="P248" t="s">
        <v>21</v>
      </c>
      <c r="Q248" s="10">
        <f>R248*$C$49</f>
        <v>2.2470861000000002</v>
      </c>
      <c r="R248" s="10">
        <f>VLOOKUP($C$23,Q243:R247,2,0)</f>
        <v>2.2470861000000002</v>
      </c>
      <c r="S248" s="13"/>
      <c r="T248" s="13"/>
      <c r="U248" s="13"/>
      <c r="W248" t="s">
        <v>21</v>
      </c>
      <c r="X248" s="10">
        <f>Y248*$C$49</f>
        <v>2.2470861000000002</v>
      </c>
      <c r="Y248" s="10">
        <f>VLOOKUP($C$23,X243:Y247,2,0)</f>
        <v>2.2470861000000002</v>
      </c>
      <c r="Z248" s="13"/>
      <c r="AA248" s="13"/>
      <c r="AB248" s="13"/>
      <c r="AD248" t="s">
        <v>21</v>
      </c>
      <c r="AE248" s="10">
        <f>AF248*$C$49</f>
        <v>2.2470861000000002</v>
      </c>
      <c r="AF248" s="10">
        <f>VLOOKUP($C$23,AE243:AF247,2,0)</f>
        <v>2.2470861000000002</v>
      </c>
      <c r="AG248" s="13"/>
      <c r="AH248" s="13"/>
      <c r="AI248" s="13"/>
      <c r="AK248" t="s">
        <v>21</v>
      </c>
      <c r="AL248" s="10">
        <f>AM248*$C$49</f>
        <v>2.2470861000000002</v>
      </c>
      <c r="AM248" s="10">
        <f>VLOOKUP($C$23,AL243:AM247,2,0)</f>
        <v>2.2470861000000002</v>
      </c>
      <c r="AN248" s="13"/>
      <c r="AO248" s="13"/>
      <c r="AP248" s="13"/>
      <c r="AR248" t="s">
        <v>21</v>
      </c>
      <c r="AS248" s="10">
        <f>AT248*$C$49</f>
        <v>2.2470861000000002</v>
      </c>
      <c r="AT248" s="10">
        <f>VLOOKUP($C$23,AS243:AT247,2,0)</f>
        <v>2.2470861000000002</v>
      </c>
      <c r="AU248" s="13"/>
      <c r="AV248" s="13"/>
      <c r="AW248" s="13"/>
      <c r="AY248" t="s">
        <v>21</v>
      </c>
      <c r="AZ248" s="10">
        <f>BA248*$C$49</f>
        <v>2.3470861000000003</v>
      </c>
      <c r="BA248" s="10">
        <f>VLOOKUP($C$23,AZ243:BA247,2,0)</f>
        <v>2.3470861000000003</v>
      </c>
      <c r="BB248" s="13"/>
      <c r="BC248" s="13"/>
      <c r="BD248" s="13"/>
      <c r="BF248" t="s">
        <v>21</v>
      </c>
      <c r="BG248" s="10">
        <f>BH248*$C$49</f>
        <v>2.3470861000000003</v>
      </c>
      <c r="BH248" s="10">
        <f>VLOOKUP($C$23,BG243:BH247,2,0)</f>
        <v>2.3470861000000003</v>
      </c>
      <c r="BI248" s="13"/>
      <c r="BJ248" s="13"/>
      <c r="BK248" s="13"/>
      <c r="BM248" t="s">
        <v>21</v>
      </c>
      <c r="BN248" s="10">
        <f>BO248*$C$49</f>
        <v>2.3470861000000003</v>
      </c>
      <c r="BO248" s="10">
        <f>VLOOKUP($C$23,BN243:BO247,2,0)</f>
        <v>2.3470861000000003</v>
      </c>
      <c r="BP248" s="13"/>
      <c r="BQ248" s="13"/>
      <c r="BR248" s="13"/>
      <c r="BT248" t="s">
        <v>21</v>
      </c>
      <c r="BU248" s="10">
        <f>BV248*$C$49</f>
        <v>2.3470861000000003</v>
      </c>
      <c r="BV248" s="10">
        <f>VLOOKUP($C$23,BU243:BV247,2,0)</f>
        <v>2.3470861000000003</v>
      </c>
      <c r="BW248" s="13"/>
      <c r="BX248" s="13"/>
      <c r="BY248" s="13"/>
      <c r="CB248" s="10"/>
      <c r="CC248" s="10"/>
      <c r="CD248" s="13"/>
      <c r="CE248" s="13"/>
      <c r="CF248" s="13"/>
      <c r="CI248" s="10"/>
      <c r="CJ248" s="10"/>
      <c r="CK248" s="13"/>
      <c r="CL248" s="13"/>
      <c r="CM248" s="13"/>
      <c r="CP248" s="10"/>
      <c r="CQ248" s="10"/>
      <c r="CR248" s="13"/>
      <c r="CS248" s="13"/>
      <c r="CT248" s="13"/>
      <c r="CW248" s="10"/>
      <c r="CX248" s="10"/>
      <c r="CY248" s="13"/>
      <c r="CZ248" s="13"/>
      <c r="DA248" s="13"/>
      <c r="DD248" s="10"/>
      <c r="DE248" s="10"/>
      <c r="DF248" s="13"/>
      <c r="DG248" s="13"/>
      <c r="DH248" s="13"/>
      <c r="DK248" s="10"/>
      <c r="DL248" s="10"/>
      <c r="DM248" s="13"/>
      <c r="DN248" s="13"/>
      <c r="DO248" s="13"/>
      <c r="DR248" s="10"/>
      <c r="DS248" s="10"/>
      <c r="DT248" s="13"/>
      <c r="DU248" s="13"/>
      <c r="DV248" s="13"/>
      <c r="DY248" s="10"/>
      <c r="DZ248" s="10"/>
      <c r="EA248" s="13"/>
      <c r="EB248" s="13"/>
      <c r="EC248" s="13"/>
      <c r="EF248" s="10"/>
      <c r="EG248" s="10"/>
      <c r="EH248" s="13"/>
      <c r="EI248" s="13"/>
      <c r="EJ248" s="13"/>
    </row>
    <row r="249" spans="1:144" x14ac:dyDescent="0.25">
      <c r="C249" s="10"/>
      <c r="D249" s="10"/>
      <c r="E249" s="13"/>
      <c r="F249" s="13"/>
      <c r="G249" s="13"/>
      <c r="AY249" s="157"/>
      <c r="AZ249" s="10"/>
      <c r="BA249" s="10"/>
      <c r="BB249" s="13"/>
      <c r="BC249" s="13"/>
      <c r="BD249" s="13"/>
      <c r="BG249" s="10"/>
      <c r="BH249" s="10"/>
      <c r="BI249" s="13"/>
      <c r="BJ249" s="13"/>
      <c r="BK249" s="13"/>
      <c r="BN249" s="10"/>
      <c r="BO249" s="10"/>
      <c r="BP249" s="13"/>
      <c r="BQ249" s="13"/>
      <c r="BR249" s="13"/>
      <c r="BU249" s="10"/>
      <c r="BV249" s="10"/>
      <c r="BW249" s="13"/>
      <c r="BX249" s="13"/>
      <c r="BY249" s="13"/>
      <c r="CB249" s="10"/>
      <c r="CC249" s="10"/>
      <c r="CD249" s="13"/>
      <c r="CE249" s="13"/>
      <c r="CF249" s="13"/>
      <c r="CI249" s="10"/>
      <c r="CJ249" s="10"/>
      <c r="CK249" s="13"/>
      <c r="CL249" s="13"/>
      <c r="CM249" s="13"/>
      <c r="CP249" s="10"/>
      <c r="CQ249" s="10"/>
      <c r="CV249" s="157"/>
      <c r="CW249" s="10"/>
      <c r="CX249" s="10"/>
      <c r="CY249" s="13"/>
      <c r="CZ249" s="13"/>
      <c r="DA249" s="13"/>
      <c r="DD249" s="10"/>
      <c r="DE249" s="10"/>
      <c r="DF249" s="13"/>
      <c r="DG249" s="13"/>
      <c r="DH249" s="13"/>
      <c r="DK249" s="10"/>
      <c r="DL249" s="10"/>
      <c r="DM249" s="13"/>
      <c r="DN249" s="13"/>
      <c r="DO249" s="13"/>
      <c r="DR249" s="10"/>
      <c r="DS249" s="10"/>
      <c r="DT249" s="13"/>
      <c r="DU249" s="13"/>
      <c r="DV249" s="13"/>
      <c r="DY249" s="10"/>
      <c r="DZ249" s="10"/>
      <c r="EA249" s="13"/>
      <c r="EB249" s="13"/>
      <c r="EC249" s="13"/>
      <c r="EF249" s="10"/>
      <c r="EG249" s="10"/>
      <c r="EH249" s="13"/>
      <c r="EI249" s="13"/>
      <c r="EJ249" s="13"/>
    </row>
    <row r="250" spans="1:144" x14ac:dyDescent="0.25">
      <c r="A250" s="300"/>
      <c r="B250" s="299" t="s">
        <v>215</v>
      </c>
      <c r="C250" s="300"/>
      <c r="D250" s="300"/>
      <c r="E250" s="300"/>
      <c r="F250" s="300"/>
      <c r="G250" s="300"/>
      <c r="H250" s="300"/>
      <c r="I250" s="299" t="s">
        <v>215</v>
      </c>
      <c r="J250" s="300"/>
      <c r="K250" s="300"/>
      <c r="L250" s="300"/>
      <c r="M250" s="300"/>
      <c r="N250" s="300"/>
      <c r="O250" s="300"/>
      <c r="P250" s="299" t="s">
        <v>215</v>
      </c>
      <c r="Q250" s="300"/>
      <c r="R250" s="300"/>
      <c r="S250" s="300"/>
      <c r="T250" s="300"/>
      <c r="U250" s="300"/>
      <c r="V250" s="300"/>
      <c r="W250" s="299" t="s">
        <v>215</v>
      </c>
      <c r="X250" s="300"/>
      <c r="Y250" s="300"/>
      <c r="Z250" s="300"/>
      <c r="AA250" s="300"/>
      <c r="AB250" s="300"/>
      <c r="AC250" s="300"/>
      <c r="AD250" s="299" t="s">
        <v>215</v>
      </c>
      <c r="AE250" s="300"/>
      <c r="AF250" s="300"/>
      <c r="AG250" s="300"/>
      <c r="AH250" s="300"/>
      <c r="AI250" s="300"/>
      <c r="AJ250" s="300"/>
      <c r="AK250" s="299" t="s">
        <v>215</v>
      </c>
      <c r="AL250" s="300"/>
      <c r="AM250" s="300"/>
      <c r="AN250" s="300"/>
      <c r="AO250" s="300"/>
      <c r="AP250" s="300"/>
      <c r="AQ250" s="300"/>
      <c r="AR250" s="299" t="s">
        <v>215</v>
      </c>
      <c r="AS250" s="300"/>
      <c r="AT250" s="300"/>
      <c r="AU250" s="300"/>
      <c r="AV250" s="300"/>
      <c r="AW250" s="300"/>
      <c r="AX250" s="300"/>
      <c r="AY250" s="299" t="s">
        <v>215</v>
      </c>
      <c r="AZ250" s="300"/>
      <c r="BA250" s="300"/>
      <c r="BB250" s="300"/>
      <c r="BC250" s="300"/>
      <c r="BD250" s="300"/>
      <c r="BE250" s="300"/>
      <c r="BF250" s="299" t="s">
        <v>215</v>
      </c>
      <c r="BG250" s="300"/>
      <c r="BH250" s="300"/>
      <c r="BI250" s="300"/>
      <c r="BJ250" s="300"/>
      <c r="BK250" s="300"/>
      <c r="BL250" s="300"/>
      <c r="BM250" s="299" t="s">
        <v>215</v>
      </c>
      <c r="BN250" s="300"/>
      <c r="BO250" s="300"/>
      <c r="BP250" s="300"/>
      <c r="BQ250" s="300"/>
      <c r="BR250" s="300"/>
      <c r="BS250" s="300"/>
      <c r="BT250" s="299" t="s">
        <v>215</v>
      </c>
      <c r="BU250" s="300"/>
      <c r="BV250" s="300"/>
      <c r="BW250" s="300"/>
      <c r="BX250" s="300"/>
      <c r="BY250" s="300"/>
      <c r="BZ250" s="300"/>
      <c r="CA250" s="299"/>
      <c r="CB250" s="300"/>
      <c r="CC250" s="300"/>
      <c r="CD250" s="300"/>
      <c r="CE250" s="300"/>
      <c r="CF250" s="300"/>
      <c r="CG250" s="300"/>
      <c r="CH250" s="299"/>
      <c r="CI250" s="300"/>
      <c r="CJ250" s="300"/>
      <c r="CK250" s="300"/>
      <c r="CL250" s="300"/>
      <c r="CM250" s="300"/>
      <c r="CN250" s="300"/>
      <c r="CO250" s="299"/>
      <c r="CP250" s="300"/>
      <c r="CQ250" s="300"/>
      <c r="CR250" s="300"/>
      <c r="CS250" s="300"/>
      <c r="CT250" s="300"/>
      <c r="CU250" s="300"/>
      <c r="CV250" s="299"/>
      <c r="CW250" s="300"/>
      <c r="CX250" s="300"/>
      <c r="CY250" s="300"/>
      <c r="CZ250" s="300"/>
      <c r="DA250" s="300"/>
      <c r="DB250" s="300"/>
      <c r="DC250" s="299"/>
      <c r="DD250" s="300"/>
      <c r="DE250" s="300"/>
      <c r="DF250" s="300"/>
      <c r="DG250" s="300"/>
      <c r="DH250" s="300"/>
      <c r="DI250" s="300"/>
      <c r="DJ250" s="299"/>
      <c r="DK250" s="300"/>
      <c r="DL250" s="300"/>
      <c r="DM250" s="300"/>
      <c r="DN250" s="300"/>
      <c r="DO250" s="300"/>
      <c r="DP250" s="300"/>
      <c r="DQ250" s="299"/>
      <c r="DR250" s="300"/>
      <c r="DS250" s="300"/>
      <c r="DT250" s="300"/>
      <c r="DU250" s="300"/>
      <c r="DV250" s="300"/>
      <c r="DW250" s="300"/>
      <c r="DX250" s="299"/>
      <c r="DY250" s="300"/>
      <c r="DZ250" s="300"/>
      <c r="EA250" s="300"/>
      <c r="EB250" s="300"/>
      <c r="EC250" s="300"/>
      <c r="ED250" s="300"/>
      <c r="EE250" s="299"/>
      <c r="EF250" s="300"/>
      <c r="EG250" s="300"/>
      <c r="EH250" s="300"/>
      <c r="EI250" s="300"/>
      <c r="EJ250" s="300"/>
      <c r="EN250" s="10"/>
    </row>
    <row r="251" spans="1:144" x14ac:dyDescent="0.25">
      <c r="B251" t="s">
        <v>191</v>
      </c>
      <c r="C251" s="10">
        <f>C173</f>
        <v>219.85664233993032</v>
      </c>
      <c r="I251" t="s">
        <v>191</v>
      </c>
      <c r="J251" s="10">
        <f>J173</f>
        <v>184.52687914160356</v>
      </c>
      <c r="P251" t="s">
        <v>191</v>
      </c>
      <c r="Q251" s="10">
        <f>Q173</f>
        <v>155.41728593232725</v>
      </c>
      <c r="W251" t="s">
        <v>191</v>
      </c>
      <c r="X251" s="10">
        <f>X173</f>
        <v>135.57547363436254</v>
      </c>
      <c r="AD251" t="s">
        <v>191</v>
      </c>
      <c r="AE251" s="10">
        <f>AE173</f>
        <v>113.84048337596722</v>
      </c>
      <c r="AK251" t="s">
        <v>191</v>
      </c>
      <c r="AL251" s="10">
        <f>AL173</f>
        <v>100.86</v>
      </c>
      <c r="AR251" t="s">
        <v>191</v>
      </c>
      <c r="AS251" s="10">
        <f>AS173</f>
        <v>84.06</v>
      </c>
      <c r="AY251" t="s">
        <v>191</v>
      </c>
      <c r="AZ251" s="10">
        <f>AZ173</f>
        <v>68.42</v>
      </c>
      <c r="BF251" t="s">
        <v>191</v>
      </c>
      <c r="BG251" s="10">
        <f>BG173</f>
        <v>59.44</v>
      </c>
      <c r="BM251" t="s">
        <v>191</v>
      </c>
      <c r="BN251" s="10">
        <f>BN173</f>
        <v>51.620000000000005</v>
      </c>
      <c r="BT251" t="s">
        <v>191</v>
      </c>
      <c r="BU251" s="10">
        <f>BU173</f>
        <v>43.8</v>
      </c>
      <c r="CB251" s="10"/>
      <c r="CI251" s="10"/>
      <c r="CP251" s="10"/>
      <c r="CV251" s="157"/>
      <c r="EN251" s="10"/>
    </row>
    <row r="252" spans="1:144" x14ac:dyDescent="0.25">
      <c r="B252" t="s">
        <v>146</v>
      </c>
      <c r="C252">
        <f>C251*0.3</f>
        <v>65.95699270197909</v>
      </c>
      <c r="I252" t="s">
        <v>146</v>
      </c>
      <c r="J252">
        <f>J251*0.3</f>
        <v>55.358063742481065</v>
      </c>
      <c r="P252" t="s">
        <v>146</v>
      </c>
      <c r="Q252">
        <f>Q251*0.3</f>
        <v>46.625185779698171</v>
      </c>
      <c r="W252" t="s">
        <v>146</v>
      </c>
      <c r="X252">
        <f>X251*0.3</f>
        <v>40.672642090308763</v>
      </c>
      <c r="AD252" t="s">
        <v>146</v>
      </c>
      <c r="AE252">
        <f>AE251*0.3</f>
        <v>34.152145012790164</v>
      </c>
      <c r="AK252" t="s">
        <v>146</v>
      </c>
      <c r="AL252">
        <f>AL251*0.3</f>
        <v>30.257999999999999</v>
      </c>
      <c r="AR252" t="s">
        <v>146</v>
      </c>
      <c r="AS252">
        <f>AS251*0.3</f>
        <v>25.218</v>
      </c>
      <c r="AY252" s="157" t="s">
        <v>146</v>
      </c>
      <c r="AZ252">
        <f>AZ251*0.3</f>
        <v>20.526</v>
      </c>
      <c r="BF252" t="s">
        <v>146</v>
      </c>
      <c r="BG252">
        <f>BG251*0.3</f>
        <v>17.831999999999997</v>
      </c>
      <c r="BM252" t="s">
        <v>146</v>
      </c>
      <c r="BN252">
        <f>BN251*0.3</f>
        <v>15.486000000000001</v>
      </c>
      <c r="BT252" t="s">
        <v>146</v>
      </c>
      <c r="BU252">
        <f>BU251*0.3</f>
        <v>13.139999999999999</v>
      </c>
      <c r="CV252" s="157"/>
      <c r="EN252" s="10"/>
    </row>
    <row r="253" spans="1:144" x14ac:dyDescent="0.25">
      <c r="AY253" s="157"/>
      <c r="CV253" s="157"/>
      <c r="EN253" s="10"/>
    </row>
    <row r="254" spans="1:144" x14ac:dyDescent="0.25">
      <c r="C254" s="1"/>
      <c r="J254" s="1"/>
      <c r="Q254" s="1"/>
      <c r="X254" s="1"/>
      <c r="AE254" s="1"/>
      <c r="AL254" s="1"/>
      <c r="AS254" s="1"/>
      <c r="AY254" s="157"/>
      <c r="AZ254" s="1"/>
      <c r="BG254" s="1"/>
      <c r="BN254" s="1"/>
      <c r="BU254" s="1"/>
      <c r="CB254" s="1"/>
      <c r="CI254" s="1"/>
      <c r="CP254" s="1"/>
      <c r="CV254" s="157"/>
      <c r="CW254" s="1"/>
      <c r="DD254" s="1"/>
      <c r="DK254" s="1"/>
      <c r="DR254" s="1"/>
      <c r="DY254" s="1"/>
      <c r="EF254" s="1"/>
      <c r="EN254" s="10"/>
    </row>
    <row r="255" spans="1:144" x14ac:dyDescent="0.25">
      <c r="B255" s="199" t="s">
        <v>309</v>
      </c>
      <c r="I255" s="199" t="s">
        <v>298</v>
      </c>
      <c r="P255" s="199" t="s">
        <v>298</v>
      </c>
      <c r="W255" s="199" t="s">
        <v>298</v>
      </c>
      <c r="AD255" s="199" t="s">
        <v>298</v>
      </c>
      <c r="AK255" s="199" t="s">
        <v>298</v>
      </c>
      <c r="AR255" s="199" t="s">
        <v>298</v>
      </c>
      <c r="AY255" s="199" t="s">
        <v>298</v>
      </c>
      <c r="BF255" s="199" t="s">
        <v>298</v>
      </c>
      <c r="BM255" s="199" t="s">
        <v>298</v>
      </c>
      <c r="BT255" s="199" t="s">
        <v>298</v>
      </c>
      <c r="CA255" s="199"/>
      <c r="CH255" s="199"/>
      <c r="CO255" s="199"/>
      <c r="CV255" s="199"/>
      <c r="DC255" s="199"/>
      <c r="DJ255" s="199"/>
      <c r="DQ255" s="199"/>
      <c r="DX255" s="199"/>
      <c r="EE255" s="199"/>
      <c r="EN255" s="10"/>
    </row>
    <row r="256" spans="1:144" x14ac:dyDescent="0.25">
      <c r="B256" t="s">
        <v>297</v>
      </c>
      <c r="C256">
        <f>TREND($C$65:$C$66,C251:C252,$C$14,1)</f>
        <v>19.085967968247953</v>
      </c>
      <c r="I256" t="s">
        <v>297</v>
      </c>
      <c r="J256">
        <f>TREND($C$65:$C$66,J251:J252,$C$14,1)</f>
        <v>18.588341525137171</v>
      </c>
      <c r="P256" t="s">
        <v>297</v>
      </c>
      <c r="Q256">
        <f>TREND($C$65:$C$66,Q251:Q252,$C$14,1)</f>
        <v>18.008326651553539</v>
      </c>
      <c r="W256" t="s">
        <v>297</v>
      </c>
      <c r="X256">
        <f>TREND($C$65:$C$66,X251:X252,$C$14,1)</f>
        <v>17.470226843222058</v>
      </c>
      <c r="AD256" t="s">
        <v>297</v>
      </c>
      <c r="AE256">
        <f>TREND($C$65:$C$66,AE251:AE252,$C$14,1)</f>
        <v>16.665509169399883</v>
      </c>
      <c r="AK256" t="s">
        <v>297</v>
      </c>
      <c r="AL256">
        <f>TREND($C$65:$C$66,AL251:AL252,$C$14,1)</f>
        <v>16.01950232152635</v>
      </c>
      <c r="AR256" t="s">
        <v>297</v>
      </c>
      <c r="AS256">
        <f>TREND($C$65:$C$66,AS251:AS252,$C$14,1)</f>
        <v>14.887198733383663</v>
      </c>
      <c r="AY256" t="s">
        <v>297</v>
      </c>
      <c r="AZ256">
        <f>TREND($C$65:$C$66,AZ251:AZ252,$C$14,1)</f>
        <v>13.333287363103185</v>
      </c>
      <c r="BF256" t="s">
        <v>297</v>
      </c>
      <c r="BG256">
        <f>TREND($C$65:$C$66,BG251:BG252,$C$14,1)</f>
        <v>12.071528345137251</v>
      </c>
      <c r="BM256" t="s">
        <v>297</v>
      </c>
      <c r="BN256">
        <f>TREND($C$65:$C$66,BN251:BN252,$C$14,1)</f>
        <v>10.615157744335589</v>
      </c>
      <c r="BT256" t="s">
        <v>297</v>
      </c>
      <c r="BU256">
        <f>TREND($C$65:$C$66,BU251:BU252,$C$14,1)</f>
        <v>8.6387497874485764</v>
      </c>
      <c r="EN256" s="10"/>
    </row>
    <row r="257" spans="2:144" x14ac:dyDescent="0.25">
      <c r="B257" t="s">
        <v>298</v>
      </c>
      <c r="C257" s="1">
        <f>IFERROR($C$124*SQRT($C$14/C256)*$C$50,"")</f>
        <v>1.1444923892941925</v>
      </c>
      <c r="D257">
        <f>C257*2</f>
        <v>2.288984778588385</v>
      </c>
      <c r="I257" t="s">
        <v>298</v>
      </c>
      <c r="J257" s="1">
        <f>IFERROR($C$124*SQRT($C$14/J256)*$C$50,"")</f>
        <v>1.1597107495601271</v>
      </c>
      <c r="P257" t="s">
        <v>298</v>
      </c>
      <c r="Q257" s="1">
        <f>IFERROR($C$124*SQRT($C$14/Q256)*$C$50,"")</f>
        <v>1.1782388117082081</v>
      </c>
      <c r="W257" t="s">
        <v>298</v>
      </c>
      <c r="X257" s="1">
        <f>IFERROR($C$124*SQRT($C$14/X256)*$C$50,"")</f>
        <v>1.1962466436305264</v>
      </c>
      <c r="AD257" t="s">
        <v>298</v>
      </c>
      <c r="AE257" s="1">
        <f>IFERROR($C$124*SQRT($C$14/AE256)*$C$50,"")</f>
        <v>1.2247874027721843</v>
      </c>
      <c r="AK257" t="s">
        <v>298</v>
      </c>
      <c r="AL257" s="1">
        <f>IFERROR($C$124*SQRT($C$14/AL256)*$C$50,"")</f>
        <v>1.2492388862830779</v>
      </c>
      <c r="AR257" t="s">
        <v>298</v>
      </c>
      <c r="AS257" s="1">
        <f>IFERROR($C$124*SQRT($C$14/AS256)*$C$50,"")</f>
        <v>1.2958761930361682</v>
      </c>
      <c r="AY257" t="s">
        <v>298</v>
      </c>
      <c r="AZ257" s="1">
        <f>IFERROR($C$124*SQRT($C$14/AZ256)*$C$50,"")</f>
        <v>1.3693087542938966</v>
      </c>
      <c r="BF257" t="s">
        <v>298</v>
      </c>
      <c r="BG257" s="1">
        <f>IFERROR($C$124*SQRT($C$14/BG256)*$C$50,"")</f>
        <v>1.4390930476735473</v>
      </c>
      <c r="BM257" t="s">
        <v>298</v>
      </c>
      <c r="BN257" s="1">
        <f>IFERROR($C$124*SQRT($C$14/BN256)*$C$50,"")</f>
        <v>1.5346409343040333</v>
      </c>
      <c r="BT257" t="s">
        <v>298</v>
      </c>
      <c r="BU257" s="1">
        <f>IFERROR($C$124*SQRT($C$14/BU256)*$C$50,"")</f>
        <v>1.7011576272545619</v>
      </c>
      <c r="CB257" s="1"/>
      <c r="CI257" s="1"/>
      <c r="CP257" s="1"/>
      <c r="CW257" s="1"/>
      <c r="DD257" s="1"/>
      <c r="DK257" s="1"/>
      <c r="DR257" s="1"/>
      <c r="DY257" s="1"/>
      <c r="EF257" s="1"/>
      <c r="EN257" s="10"/>
    </row>
    <row r="258" spans="2:144" x14ac:dyDescent="0.25">
      <c r="B258" t="s">
        <v>309</v>
      </c>
      <c r="C258" s="1">
        <f>C257*$C$126</f>
        <v>2.288984778588385</v>
      </c>
      <c r="I258" t="s">
        <v>309</v>
      </c>
      <c r="J258" s="1">
        <f>J257*$C$126</f>
        <v>2.3194214991202542</v>
      </c>
      <c r="P258" t="s">
        <v>309</v>
      </c>
      <c r="Q258" s="1">
        <f>Q257*$C$126</f>
        <v>2.3564776234164162</v>
      </c>
      <c r="W258" t="s">
        <v>309</v>
      </c>
      <c r="X258" s="1">
        <f>X257*$C$126</f>
        <v>2.3924932872610527</v>
      </c>
      <c r="AD258" t="s">
        <v>309</v>
      </c>
      <c r="AE258" s="1">
        <f>AE257*$C$126</f>
        <v>2.4495748055443687</v>
      </c>
      <c r="AK258" t="s">
        <v>309</v>
      </c>
      <c r="AL258" s="1">
        <f>AL257*$C$126</f>
        <v>2.4984777725661558</v>
      </c>
      <c r="AR258" t="s">
        <v>309</v>
      </c>
      <c r="AS258" s="1">
        <f>AS257*$C$126</f>
        <v>2.5917523860723364</v>
      </c>
      <c r="AY258" t="s">
        <v>309</v>
      </c>
      <c r="AZ258" s="1">
        <f>AZ257*$C$126</f>
        <v>2.7386175085877933</v>
      </c>
      <c r="BF258" t="s">
        <v>309</v>
      </c>
      <c r="BG258" s="1">
        <f>BG257*$C$126</f>
        <v>2.8781860953470946</v>
      </c>
      <c r="BM258" t="s">
        <v>309</v>
      </c>
      <c r="BN258" s="1">
        <f>BN257*$C$126</f>
        <v>3.0692818686080665</v>
      </c>
      <c r="BT258" t="s">
        <v>309</v>
      </c>
      <c r="BU258" s="1">
        <f>BU257*$C$126</f>
        <v>3.4023152545091238</v>
      </c>
      <c r="CB258" s="1"/>
      <c r="CI258" s="1"/>
      <c r="CP258" s="1"/>
      <c r="CW258" s="1"/>
      <c r="DD258" s="1"/>
      <c r="DK258" s="1"/>
      <c r="DR258" s="1"/>
      <c r="DY258" s="1"/>
      <c r="EF258" s="1"/>
      <c r="EN258" s="10"/>
    </row>
    <row r="259" spans="2:144" x14ac:dyDescent="0.25">
      <c r="C259" s="1"/>
      <c r="J259" s="1"/>
      <c r="Q259" s="1"/>
      <c r="X259" s="1"/>
      <c r="AE259" s="1"/>
      <c r="AL259" s="1"/>
      <c r="AS259" s="1"/>
      <c r="AY259" s="157"/>
      <c r="AZ259" s="1"/>
      <c r="BG259" s="1"/>
      <c r="BN259" s="1"/>
      <c r="BU259" s="1"/>
      <c r="CB259" s="1"/>
      <c r="CI259" s="1"/>
      <c r="CP259" s="1"/>
      <c r="CV259" s="157"/>
      <c r="CW259" s="1"/>
      <c r="DD259" s="1"/>
      <c r="DK259" s="1"/>
      <c r="DR259" s="1"/>
      <c r="DY259" s="1"/>
      <c r="EF259" s="1"/>
      <c r="EN259" s="10"/>
    </row>
    <row r="260" spans="2:144" x14ac:dyDescent="0.25">
      <c r="C260" s="1"/>
      <c r="J260" s="1"/>
      <c r="Q260" s="1"/>
      <c r="X260" s="1"/>
      <c r="AE260" s="1"/>
      <c r="AL260" s="1"/>
      <c r="AS260" s="1"/>
      <c r="AY260" s="157"/>
      <c r="AZ260" s="1"/>
      <c r="BG260" s="1"/>
      <c r="BN260" s="1"/>
      <c r="BU260" s="1"/>
      <c r="CB260" s="1"/>
      <c r="CI260" s="1"/>
      <c r="CP260" s="1"/>
      <c r="CV260" s="157"/>
      <c r="CW260" s="1"/>
      <c r="DD260" s="1"/>
      <c r="DK260" s="1"/>
      <c r="DR260" s="1"/>
      <c r="DY260" s="1"/>
      <c r="EF260" s="1"/>
    </row>
    <row r="261" spans="2:144" x14ac:dyDescent="0.25">
      <c r="B261" s="199" t="s">
        <v>430</v>
      </c>
      <c r="C261" s="1"/>
      <c r="I261" s="199" t="s">
        <v>430</v>
      </c>
      <c r="J261" s="1"/>
      <c r="P261" s="199" t="s">
        <v>430</v>
      </c>
      <c r="Q261" s="1"/>
      <c r="W261" s="199" t="s">
        <v>430</v>
      </c>
      <c r="X261" s="1"/>
      <c r="AD261" s="199" t="s">
        <v>430</v>
      </c>
      <c r="AE261" s="1"/>
      <c r="AK261" s="199" t="s">
        <v>430</v>
      </c>
      <c r="AL261" s="1"/>
      <c r="AR261" s="199" t="s">
        <v>430</v>
      </c>
      <c r="AS261" s="1"/>
      <c r="AY261" s="199" t="s">
        <v>430</v>
      </c>
      <c r="AZ261" s="1"/>
      <c r="BF261" s="199" t="s">
        <v>430</v>
      </c>
      <c r="BG261" s="1"/>
      <c r="BM261" s="199" t="s">
        <v>430</v>
      </c>
      <c r="BN261" s="1"/>
      <c r="BT261" s="199" t="s">
        <v>430</v>
      </c>
      <c r="BU261" s="1"/>
      <c r="CA261" s="199"/>
      <c r="CB261" s="1"/>
      <c r="CH261" s="199"/>
      <c r="CI261" s="1"/>
      <c r="CO261" s="199"/>
      <c r="CP261" s="1"/>
      <c r="CV261" s="199"/>
      <c r="CW261" s="1"/>
      <c r="DC261" s="199"/>
      <c r="DD261" s="1"/>
      <c r="DJ261" s="199"/>
      <c r="DK261" s="1"/>
      <c r="DQ261" s="199"/>
      <c r="DR261" s="1"/>
      <c r="DX261" s="199"/>
      <c r="DY261" s="1"/>
      <c r="EE261" s="199"/>
      <c r="EF261" s="1"/>
    </row>
    <row r="263" spans="2:144" x14ac:dyDescent="0.25">
      <c r="B263" t="s">
        <v>341</v>
      </c>
      <c r="C263" cm="1">
        <f t="array" ref="C263">TREND($C$80:$C$81,$B$80:$B$81,C179,1)</f>
        <v>0.98793566985055103</v>
      </c>
      <c r="I263" t="s">
        <v>341</v>
      </c>
      <c r="J263" cm="1">
        <f t="array" ref="J263">TREND($C$80:$C$81,$B$80:$B$81,J179,1)</f>
        <v>0.96189471074514654</v>
      </c>
      <c r="P263" t="s">
        <v>341</v>
      </c>
      <c r="Q263" cm="1">
        <f t="array" ref="Q263">TREND($C$80:$C$81,$B$80:$B$81,Q179,1)</f>
        <v>0.92579970894109287</v>
      </c>
      <c r="W263" t="s">
        <v>341</v>
      </c>
      <c r="X263" cm="1">
        <f t="array" ref="X263">TREND($C$80:$C$81,$B$80:$B$81,X179,1)</f>
        <v>0.88678540410783968</v>
      </c>
      <c r="AD263" t="s">
        <v>341</v>
      </c>
      <c r="AE263" cm="1">
        <f t="array" ref="AE263">TREND($C$80:$C$81,$B$80:$B$81,AE179,1)</f>
        <v>0.81851236793632209</v>
      </c>
      <c r="AK263" t="s">
        <v>341</v>
      </c>
      <c r="AL263" cm="1">
        <f t="array" ref="AL263">TREND($C$80:$C$81,$B$80:$B$81,AL179,1)</f>
        <v>0.75509419114591314</v>
      </c>
      <c r="AR263" t="s">
        <v>341</v>
      </c>
      <c r="AS263" cm="1">
        <f t="array" ref="AS263">TREND($C$80:$C$81,$B$80:$B$81,AS179,1)</f>
        <v>0.62543666763297279</v>
      </c>
      <c r="AY263" t="s">
        <v>341</v>
      </c>
      <c r="AZ263" cm="1">
        <f t="array" ref="AZ263">TREND($C$80:$C$81,$B$80:$B$81,AZ179,1)</f>
        <v>0.40915187938110464</v>
      </c>
      <c r="BF263" t="s">
        <v>341</v>
      </c>
      <c r="BG263" cm="1">
        <f t="array" ref="BG263">TREND($C$80:$C$81,$B$80:$B$81,BG179,1)</f>
        <v>0.20089059123374908</v>
      </c>
      <c r="BM263" t="s">
        <v>341</v>
      </c>
      <c r="BN263" cm="1">
        <f t="array" ref="BN263">TREND($C$80:$C$81,$B$80:$B$81,BN179,1)</f>
        <v>-7.5862241597727476E-2</v>
      </c>
      <c r="BT263" t="s">
        <v>341</v>
      </c>
      <c r="BU263" cm="1">
        <f t="array" ref="BU263">TREND($C$80:$C$81,$B$80:$B$81,BU179,1)</f>
        <v>-0.51377056358291151</v>
      </c>
    </row>
    <row r="264" spans="2:144" x14ac:dyDescent="0.25">
      <c r="B264" t="s">
        <v>209</v>
      </c>
      <c r="C264" cm="1">
        <f t="array" ref="C264">TREND($F$120:$F$121,C251:C252,$C$45)</f>
        <v>4.7663607890819257</v>
      </c>
      <c r="I264" t="s">
        <v>209</v>
      </c>
      <c r="J264" cm="1">
        <f t="array" ref="J264">TREND($F$120:$F$121,J251:J252,$C$45)</f>
        <v>4.8036827723152342</v>
      </c>
      <c r="P264" t="s">
        <v>209</v>
      </c>
      <c r="Q264" cm="1">
        <f t="array" ref="Q264">TREND($F$120:$F$121,Q251:Q252,$C$45)</f>
        <v>4.8471838878340066</v>
      </c>
      <c r="W264" t="s">
        <v>209</v>
      </c>
      <c r="X264" cm="1">
        <f t="array" ref="X264">TREND($F$120:$F$121,X251:X252,$C$45)</f>
        <v>4.8875413734588671</v>
      </c>
      <c r="AD264" t="s">
        <v>209</v>
      </c>
      <c r="AE264" cm="1">
        <f t="array" ref="AE264">TREND($F$120:$F$121,AE251:AE252,$C$45)</f>
        <v>4.9478951989955311</v>
      </c>
      <c r="AK264" t="s">
        <v>209</v>
      </c>
      <c r="AL264" cm="1">
        <f t="array" ref="AL264">TREND($F$120:$F$121,AL251:AL252,$C$45)</f>
        <v>4.9963457125860451</v>
      </c>
      <c r="AR264" t="s">
        <v>209</v>
      </c>
      <c r="AS264" cm="1">
        <f t="array" ref="AS264">TREND($F$120:$F$121,AS251:AS252,$C$45)</f>
        <v>5.0812684816967471</v>
      </c>
      <c r="AY264" t="s">
        <v>209</v>
      </c>
      <c r="AZ264" cm="1">
        <f t="array" ref="AZ264">TREND($F$120:$F$121,AZ251:AZ252,$C$45)</f>
        <v>5.1978118344677835</v>
      </c>
      <c r="BF264" t="s">
        <v>209</v>
      </c>
      <c r="BG264" cm="1">
        <f t="array" ref="BG264">TREND($F$120:$F$121,BG251:BG252,$C$45)</f>
        <v>5.2924437608152282</v>
      </c>
      <c r="BM264" t="s">
        <v>209</v>
      </c>
      <c r="BN264" cm="1">
        <f t="array" ref="BN264">TREND($F$120:$F$121,BN251:BN252,$C$45)</f>
        <v>5.4016715558753532</v>
      </c>
      <c r="BT264" t="s">
        <v>209</v>
      </c>
      <c r="BU264" cm="1">
        <f t="array" ref="BU264">TREND($F$120:$F$121,BU251:BU252,$C$45)</f>
        <v>5.5499021526418781</v>
      </c>
    </row>
    <row r="266" spans="2:144" x14ac:dyDescent="0.25">
      <c r="B266" s="1" t="s">
        <v>288</v>
      </c>
      <c r="I266" s="1" t="s">
        <v>288</v>
      </c>
      <c r="P266" s="1" t="s">
        <v>288</v>
      </c>
      <c r="W266" s="1" t="s">
        <v>288</v>
      </c>
      <c r="AD266" s="1" t="s">
        <v>288</v>
      </c>
      <c r="AK266" s="1" t="s">
        <v>288</v>
      </c>
      <c r="AR266" s="1" t="s">
        <v>288</v>
      </c>
      <c r="AY266" s="1" t="s">
        <v>288</v>
      </c>
      <c r="BF266" s="1" t="s">
        <v>288</v>
      </c>
      <c r="BM266" s="1" t="s">
        <v>288</v>
      </c>
      <c r="BT266" s="1" t="s">
        <v>288</v>
      </c>
      <c r="CA266" s="1"/>
      <c r="CH266" s="1"/>
      <c r="CO266" s="1"/>
      <c r="CV266" s="1"/>
      <c r="DC266" s="1"/>
      <c r="DJ266" s="1"/>
      <c r="DQ266" s="1"/>
      <c r="DX266" s="1"/>
      <c r="EE266" s="1"/>
    </row>
    <row r="267" spans="2:144" x14ac:dyDescent="0.25">
      <c r="B267" t="s">
        <v>349</v>
      </c>
      <c r="C267">
        <f>$C$91*C263*$C$76*$C$38/12</f>
        <v>0.42721018139842259</v>
      </c>
      <c r="I267" t="s">
        <v>349</v>
      </c>
      <c r="J267">
        <f t="shared" ref="J267" si="220">$C$91*J263*$C$76*$C$38/12</f>
        <v>0.41594936432022989</v>
      </c>
      <c r="P267" t="s">
        <v>349</v>
      </c>
      <c r="Q267">
        <f t="shared" ref="Q267" si="221">$C$91*Q263*$C$76*$C$38/12</f>
        <v>0.40034090646323311</v>
      </c>
      <c r="W267" t="s">
        <v>349</v>
      </c>
      <c r="X267">
        <f t="shared" ref="X267" si="222">$C$91*X263*$C$76*$C$38/12</f>
        <v>0.38347006279031587</v>
      </c>
      <c r="AD267" t="s">
        <v>349</v>
      </c>
      <c r="AE267">
        <f t="shared" ref="AE267" si="223">$C$91*AE263*$C$76*$C$38/12</f>
        <v>0.35394695004364563</v>
      </c>
      <c r="AK267" t="s">
        <v>349</v>
      </c>
      <c r="AL267">
        <f t="shared" ref="AL267" si="224">$C$91*AL263*$C$76*$C$38/12</f>
        <v>0.32652321018142738</v>
      </c>
      <c r="AR267" t="s">
        <v>349</v>
      </c>
      <c r="AS267">
        <f t="shared" ref="AS267" si="225">$C$91*AS263*$C$76*$C$38/12</f>
        <v>0.27045578005410675</v>
      </c>
      <c r="AY267" t="s">
        <v>349</v>
      </c>
      <c r="AZ267">
        <f t="shared" ref="AZ267" si="226">$C$91*AZ263*$C$76*$C$38/12</f>
        <v>0.1769283708891177</v>
      </c>
      <c r="BF267" t="s">
        <v>349</v>
      </c>
      <c r="BG267">
        <f t="shared" ref="BG267" si="227">$C$91*BG263*$C$76*$C$38/12</f>
        <v>8.6870540806760224E-2</v>
      </c>
      <c r="BM267" t="s">
        <v>349</v>
      </c>
      <c r="BN267">
        <f t="shared" ref="BN267" si="228">$C$91*BN263*$C$76*$C$38/12</f>
        <v>-3.2804891030160668E-2</v>
      </c>
      <c r="BT267" t="s">
        <v>349</v>
      </c>
      <c r="BU267">
        <f t="shared" ref="BU267" si="229">$C$91*BU263*$C$76*$C$38/12</f>
        <v>-0.22216832771978792</v>
      </c>
      <c r="CA267" s="1"/>
      <c r="CH267" s="1"/>
      <c r="CO267" s="1"/>
      <c r="CV267" s="1"/>
      <c r="DC267" s="1"/>
      <c r="DJ267" s="1"/>
      <c r="DQ267" s="1"/>
      <c r="DX267" s="1"/>
      <c r="EE267" s="1"/>
    </row>
    <row r="268" spans="2:144" x14ac:dyDescent="0.25">
      <c r="B268" t="s">
        <v>756</v>
      </c>
      <c r="C268">
        <f>MAX(C267,0.35)</f>
        <v>0.42721018139842259</v>
      </c>
      <c r="I268" t="s">
        <v>757</v>
      </c>
      <c r="J268">
        <f t="shared" ref="J268" si="230">MAX(J267,0.35)</f>
        <v>0.41594936432022989</v>
      </c>
      <c r="P268" t="s">
        <v>758</v>
      </c>
      <c r="Q268">
        <f t="shared" ref="Q268" si="231">MAX(Q267,0.35)</f>
        <v>0.40034090646323311</v>
      </c>
      <c r="W268" t="s">
        <v>759</v>
      </c>
      <c r="X268">
        <f t="shared" ref="X268" si="232">MAX(X267,0.35)</f>
        <v>0.38347006279031587</v>
      </c>
      <c r="AD268" t="s">
        <v>760</v>
      </c>
      <c r="AE268">
        <f t="shared" ref="AE268" si="233">MAX(AE267,0.35)</f>
        <v>0.35394695004364563</v>
      </c>
      <c r="AK268" t="s">
        <v>761</v>
      </c>
      <c r="AL268">
        <f t="shared" ref="AL268" si="234">MAX(AL267,0.35)</f>
        <v>0.35</v>
      </c>
      <c r="AR268" t="s">
        <v>762</v>
      </c>
      <c r="AS268">
        <f t="shared" ref="AS268" si="235">MAX(AS267,0.35)</f>
        <v>0.35</v>
      </c>
      <c r="AY268" t="s">
        <v>763</v>
      </c>
      <c r="AZ268">
        <f t="shared" ref="AZ268" si="236">MAX(AZ267,0.35)</f>
        <v>0.35</v>
      </c>
      <c r="BF268" t="s">
        <v>764</v>
      </c>
      <c r="BG268">
        <f t="shared" ref="BG268" si="237">MAX(BG267,0.35)</f>
        <v>0.35</v>
      </c>
      <c r="BM268" t="s">
        <v>765</v>
      </c>
      <c r="BN268">
        <f t="shared" ref="BN268" si="238">MAX(BN267,0.35)</f>
        <v>0.35</v>
      </c>
      <c r="BT268" t="s">
        <v>766</v>
      </c>
      <c r="BU268">
        <f t="shared" ref="BU268" si="239">MAX(BU267,0.35)</f>
        <v>0.35</v>
      </c>
    </row>
    <row r="270" spans="2:144" x14ac:dyDescent="0.25">
      <c r="B270" t="s">
        <v>404</v>
      </c>
      <c r="C270">
        <f>$C$124*SQRT($C$45/C268)*SQRT(2.7/$C$39)</f>
        <v>4.189959590646672</v>
      </c>
      <c r="D270">
        <f>C270*2</f>
        <v>8.379919181293344</v>
      </c>
      <c r="I270" t="s">
        <v>404</v>
      </c>
      <c r="J270">
        <f>$C$124*SQRT($C$45/J268)*SQRT(2.7/$C$39)</f>
        <v>4.2462973163768734</v>
      </c>
      <c r="K270">
        <f t="shared" ref="K270" si="240">J270*2</f>
        <v>8.4925946327537467</v>
      </c>
      <c r="P270" t="s">
        <v>404</v>
      </c>
      <c r="Q270">
        <f>$C$124*SQRT($C$45/Q268)*SQRT(2.7/$C$39)</f>
        <v>4.3282829871836848</v>
      </c>
      <c r="R270">
        <f t="shared" ref="R270" si="241">Q270*2</f>
        <v>8.6565659743673695</v>
      </c>
      <c r="W270" t="s">
        <v>404</v>
      </c>
      <c r="X270">
        <f>$C$124*SQRT($C$45/X268)*SQRT(2.7/$C$39)</f>
        <v>4.422470039408263</v>
      </c>
      <c r="Y270">
        <f t="shared" ref="Y270" si="242">X270*2</f>
        <v>8.844940078816526</v>
      </c>
      <c r="AD270" t="s">
        <v>404</v>
      </c>
      <c r="AE270">
        <f>$C$124*SQRT($C$45/AE268)*SQRT(2.7/$C$39)</f>
        <v>4.6032180183963343</v>
      </c>
      <c r="AF270">
        <f t="shared" ref="AF270" si="243">AE270*2</f>
        <v>9.2064360367926685</v>
      </c>
      <c r="AK270" t="s">
        <v>404</v>
      </c>
      <c r="AL270">
        <f>$C$124*SQRT($C$45/AL268)*SQRT(2.7/$C$39)</f>
        <v>4.6291004988627575</v>
      </c>
      <c r="AM270">
        <f t="shared" ref="AM270" si="244">AL270*2</f>
        <v>9.2582009977255151</v>
      </c>
      <c r="AR270" t="s">
        <v>404</v>
      </c>
      <c r="AS270">
        <f>$C$124*SQRT($C$45/AS268)*SQRT(2.7/$C$39)</f>
        <v>4.6291004988627575</v>
      </c>
      <c r="AT270">
        <f t="shared" ref="AT270" si="245">AS270*2</f>
        <v>9.2582009977255151</v>
      </c>
      <c r="AY270" t="s">
        <v>404</v>
      </c>
      <c r="AZ270">
        <f>$C$124*SQRT($C$45/AZ268)*SQRT(2.7/$C$39)</f>
        <v>4.6291004988627575</v>
      </c>
      <c r="BA270">
        <f t="shared" ref="BA270" si="246">AZ270*2</f>
        <v>9.2582009977255151</v>
      </c>
      <c r="BF270" t="s">
        <v>404</v>
      </c>
      <c r="BG270">
        <f>$C$124*SQRT($C$45/BG268)*SQRT(2.7/$C$39)</f>
        <v>4.6291004988627575</v>
      </c>
      <c r="BH270">
        <f t="shared" ref="BH270" si="247">BG270*2</f>
        <v>9.2582009977255151</v>
      </c>
      <c r="BM270" t="s">
        <v>404</v>
      </c>
      <c r="BN270">
        <f>$C$124*SQRT($C$45/BN268)*SQRT(2.7/$C$39)</f>
        <v>4.6291004988627575</v>
      </c>
      <c r="BO270">
        <f t="shared" ref="BO270" si="248">BN270*2</f>
        <v>9.2582009977255151</v>
      </c>
      <c r="BT270" t="s">
        <v>404</v>
      </c>
      <c r="BU270">
        <f>$C$124*SQRT($C$45/BU268)*SQRT(2.7/$C$39)</f>
        <v>4.6291004988627575</v>
      </c>
      <c r="BV270">
        <f t="shared" ref="BV270" si="249">BU270*2</f>
        <v>9.2582009977255151</v>
      </c>
    </row>
    <row r="271" spans="2:144" x14ac:dyDescent="0.25">
      <c r="B271" t="s">
        <v>301</v>
      </c>
      <c r="C271">
        <f>C264*$C$39/2</f>
        <v>6.4345870652606001</v>
      </c>
      <c r="D271">
        <f>C271*2</f>
        <v>12.8691741305212</v>
      </c>
      <c r="I271" t="s">
        <v>301</v>
      </c>
      <c r="J271">
        <f>J264*$C$39/2</f>
        <v>6.4849717426255662</v>
      </c>
      <c r="K271">
        <f t="shared" ref="K271" si="250">J271*2</f>
        <v>12.969943485251132</v>
      </c>
      <c r="P271" t="s">
        <v>301</v>
      </c>
      <c r="Q271">
        <f>Q264*$C$39/2</f>
        <v>6.5436982485759092</v>
      </c>
      <c r="R271">
        <f t="shared" ref="R271" si="251">Q271*2</f>
        <v>13.087396497151818</v>
      </c>
      <c r="W271" t="s">
        <v>301</v>
      </c>
      <c r="X271">
        <f>X264*$C$39/2</f>
        <v>6.5981808541694713</v>
      </c>
      <c r="Y271">
        <f t="shared" ref="Y271" si="252">X271*2</f>
        <v>13.196361708338943</v>
      </c>
      <c r="AD271" t="s">
        <v>301</v>
      </c>
      <c r="AE271">
        <f>AE264*$C$39/2</f>
        <v>6.6796585186439676</v>
      </c>
      <c r="AF271">
        <f t="shared" ref="AF271" si="253">AE271*2</f>
        <v>13.359317037287935</v>
      </c>
      <c r="AK271" t="s">
        <v>301</v>
      </c>
      <c r="AL271">
        <f>AL264*$C$39/2</f>
        <v>6.7450667119911616</v>
      </c>
      <c r="AM271">
        <f t="shared" ref="AM271" si="254">AL271*2</f>
        <v>13.490133423982323</v>
      </c>
      <c r="AR271" t="s">
        <v>301</v>
      </c>
      <c r="AS271">
        <f>AS264*$C$39/2</f>
        <v>6.8597124502906093</v>
      </c>
      <c r="AT271">
        <f t="shared" ref="AT271" si="255">AS271*2</f>
        <v>13.719424900581219</v>
      </c>
      <c r="AY271" t="s">
        <v>301</v>
      </c>
      <c r="AZ271">
        <f>AZ264*$C$39/2</f>
        <v>7.0170459765315085</v>
      </c>
      <c r="BA271">
        <f t="shared" ref="BA271" si="256">AZ271*2</f>
        <v>14.034091953063017</v>
      </c>
      <c r="BF271" t="s">
        <v>301</v>
      </c>
      <c r="BG271">
        <f>BG264*$C$39/2</f>
        <v>7.1447990771005587</v>
      </c>
      <c r="BH271">
        <f t="shared" ref="BH271" si="257">BG271*2</f>
        <v>14.289598154201117</v>
      </c>
      <c r="BM271" t="s">
        <v>301</v>
      </c>
      <c r="BN271">
        <f>BN264*$C$39/2</f>
        <v>7.2922566004317275</v>
      </c>
      <c r="BO271">
        <f t="shared" ref="BO271" si="258">BN271*2</f>
        <v>14.584513200863455</v>
      </c>
      <c r="BT271" t="s">
        <v>301</v>
      </c>
      <c r="BU271">
        <f>BU264*$C$39/2</f>
        <v>7.4923679060665362</v>
      </c>
      <c r="BV271">
        <f t="shared" ref="BV271" si="259">BU271*2</f>
        <v>14.984735812133072</v>
      </c>
    </row>
    <row r="272" spans="2:144" x14ac:dyDescent="0.25">
      <c r="B272" t="s">
        <v>403</v>
      </c>
      <c r="C272">
        <f>MIN(C270:C271)</f>
        <v>4.189959590646672</v>
      </c>
      <c r="I272" t="s">
        <v>403</v>
      </c>
      <c r="J272">
        <f t="shared" ref="J272" si="260">MIN(J270:J271)</f>
        <v>4.2462973163768734</v>
      </c>
      <c r="P272" t="s">
        <v>403</v>
      </c>
      <c r="Q272">
        <f t="shared" ref="Q272" si="261">MIN(Q270:Q271)</f>
        <v>4.3282829871836848</v>
      </c>
      <c r="W272" t="s">
        <v>403</v>
      </c>
      <c r="X272">
        <f t="shared" ref="X272" si="262">MIN(X270:X271)</f>
        <v>4.422470039408263</v>
      </c>
      <c r="AD272" t="s">
        <v>403</v>
      </c>
      <c r="AE272">
        <f t="shared" ref="AE272" si="263">MIN(AE270:AE271)</f>
        <v>4.6032180183963343</v>
      </c>
      <c r="AK272" t="s">
        <v>403</v>
      </c>
      <c r="AL272">
        <f t="shared" ref="AL272" si="264">MIN(AL270:AL271)</f>
        <v>4.6291004988627575</v>
      </c>
      <c r="AR272" t="s">
        <v>403</v>
      </c>
      <c r="AS272">
        <f t="shared" ref="AS272" si="265">MIN(AS270:AS271)</f>
        <v>4.6291004988627575</v>
      </c>
      <c r="AY272" t="s">
        <v>403</v>
      </c>
      <c r="AZ272">
        <f t="shared" ref="AZ272" si="266">MIN(AZ270:AZ271)</f>
        <v>4.6291004988627575</v>
      </c>
      <c r="BF272" t="s">
        <v>403</v>
      </c>
      <c r="BG272">
        <f t="shared" ref="BG272" si="267">MIN(BG270:BG271)</f>
        <v>4.6291004988627575</v>
      </c>
      <c r="BM272" t="s">
        <v>403</v>
      </c>
      <c r="BN272">
        <f t="shared" ref="BN272" si="268">MIN(BN270:BN271)</f>
        <v>4.6291004988627575</v>
      </c>
      <c r="BT272" t="s">
        <v>403</v>
      </c>
      <c r="BU272">
        <f t="shared" ref="BU272" si="269">MIN(BU270:BU271)</f>
        <v>4.6291004988627575</v>
      </c>
    </row>
    <row r="273" spans="1:140" x14ac:dyDescent="0.25">
      <c r="B273" t="s">
        <v>406</v>
      </c>
      <c r="C273">
        <f>C272*$C$126</f>
        <v>8.379919181293344</v>
      </c>
      <c r="I273" t="s">
        <v>406</v>
      </c>
      <c r="J273">
        <f t="shared" ref="J273" si="270">J272*$C$126</f>
        <v>8.4925946327537467</v>
      </c>
      <c r="P273" t="s">
        <v>406</v>
      </c>
      <c r="Q273">
        <f t="shared" ref="Q273" si="271">Q272*$C$126</f>
        <v>8.6565659743673695</v>
      </c>
      <c r="W273" t="s">
        <v>406</v>
      </c>
      <c r="X273">
        <f t="shared" ref="X273" si="272">X272*$C$126</f>
        <v>8.844940078816526</v>
      </c>
      <c r="AD273" t="s">
        <v>406</v>
      </c>
      <c r="AE273">
        <f t="shared" ref="AE273" si="273">AE272*$C$126</f>
        <v>9.2064360367926685</v>
      </c>
      <c r="AK273" t="s">
        <v>406</v>
      </c>
      <c r="AL273">
        <f t="shared" ref="AL273" si="274">AL272*$C$126</f>
        <v>9.2582009977255151</v>
      </c>
      <c r="AR273" t="s">
        <v>406</v>
      </c>
      <c r="AS273">
        <f t="shared" ref="AS273" si="275">AS272*$C$126</f>
        <v>9.2582009977255151</v>
      </c>
      <c r="AY273" t="s">
        <v>406</v>
      </c>
      <c r="AZ273">
        <f t="shared" ref="AZ273" si="276">AZ272*$C$126</f>
        <v>9.2582009977255151</v>
      </c>
      <c r="BF273" t="s">
        <v>406</v>
      </c>
      <c r="BG273">
        <f t="shared" ref="BG273" si="277">BG272*$C$126</f>
        <v>9.2582009977255151</v>
      </c>
      <c r="BM273" t="s">
        <v>406</v>
      </c>
      <c r="BN273">
        <f t="shared" ref="BN273" si="278">BN272*$C$126</f>
        <v>9.2582009977255151</v>
      </c>
      <c r="BT273" t="s">
        <v>406</v>
      </c>
      <c r="BU273">
        <f t="shared" ref="BU273" si="279">BU272*$C$126</f>
        <v>9.2582009977255151</v>
      </c>
    </row>
    <row r="275" spans="1:140" x14ac:dyDescent="0.25">
      <c r="B275" s="1" t="s">
        <v>405</v>
      </c>
      <c r="I275" s="1" t="s">
        <v>405</v>
      </c>
      <c r="P275" s="1" t="s">
        <v>405</v>
      </c>
      <c r="W275" s="1" t="s">
        <v>405</v>
      </c>
      <c r="AD275" s="1" t="s">
        <v>405</v>
      </c>
      <c r="AK275" s="1" t="s">
        <v>405</v>
      </c>
      <c r="AR275" s="1" t="s">
        <v>405</v>
      </c>
      <c r="AY275" s="1" t="s">
        <v>405</v>
      </c>
      <c r="BF275" s="1" t="s">
        <v>405</v>
      </c>
      <c r="BM275" s="1" t="s">
        <v>405</v>
      </c>
      <c r="BT275" s="1" t="s">
        <v>405</v>
      </c>
      <c r="CA275" s="1"/>
      <c r="CH275" s="1"/>
      <c r="CO275" s="1"/>
      <c r="CV275" s="1"/>
      <c r="DC275" s="1"/>
      <c r="DJ275" s="1"/>
      <c r="DQ275" s="1"/>
      <c r="DX275" s="1"/>
      <c r="EE275" s="1"/>
    </row>
    <row r="276" spans="1:140" x14ac:dyDescent="0.25">
      <c r="B276" t="s">
        <v>350</v>
      </c>
      <c r="C276">
        <f>$C$101*C263*$C$76*$C$38/12</f>
        <v>0.52854558337004487</v>
      </c>
      <c r="I276" t="s">
        <v>350</v>
      </c>
      <c r="J276">
        <f t="shared" ref="J276" si="280">$C$101*J263*$C$76*$C$38/12</f>
        <v>0.51461367024865345</v>
      </c>
      <c r="P276" t="s">
        <v>350</v>
      </c>
      <c r="Q276">
        <f t="shared" ref="Q276" si="281">$C$101*Q263*$C$76*$C$38/12</f>
        <v>0.49530284428348476</v>
      </c>
      <c r="W276" t="s">
        <v>350</v>
      </c>
      <c r="X276">
        <f t="shared" ref="X276" si="282">$C$101*X263*$C$76*$C$38/12</f>
        <v>0.47443019119769425</v>
      </c>
      <c r="AD276" t="s">
        <v>350</v>
      </c>
      <c r="AE276">
        <f t="shared" ref="AE276" si="283">$C$101*AE263*$C$76*$C$38/12</f>
        <v>0.43790411684593233</v>
      </c>
      <c r="AK276" t="s">
        <v>350</v>
      </c>
      <c r="AL276">
        <f t="shared" ref="AL276" si="284">$C$101*AL263*$C$76*$C$38/12</f>
        <v>0.40397539226306356</v>
      </c>
      <c r="AR276" t="s">
        <v>350</v>
      </c>
      <c r="AS276">
        <f t="shared" ref="AS276" si="285">$C$101*AS263*$C$76*$C$38/12</f>
        <v>0.33460861718364043</v>
      </c>
      <c r="AY276" t="s">
        <v>350</v>
      </c>
      <c r="AZ276">
        <f t="shared" ref="AZ276" si="286">$C$101*AZ263*$C$76*$C$38/12</f>
        <v>0.21889625546889099</v>
      </c>
      <c r="BF276" t="s">
        <v>350</v>
      </c>
      <c r="BG276">
        <f t="shared" ref="BG276" si="287">$C$101*BG263*$C$76*$C$38/12</f>
        <v>0.10747646631005577</v>
      </c>
      <c r="BM276" t="s">
        <v>350</v>
      </c>
      <c r="BN276">
        <f t="shared" ref="BN276" si="288">$C$101*BN263*$C$76*$C$38/12</f>
        <v>-4.05862992547842E-2</v>
      </c>
      <c r="BT276" t="s">
        <v>350</v>
      </c>
      <c r="BU276">
        <f t="shared" ref="BU276" si="289">$C$101*BU263*$C$76*$C$38/12</f>
        <v>-0.27486725151685765</v>
      </c>
      <c r="CA276" s="1"/>
      <c r="CH276" s="1"/>
      <c r="CO276" s="1"/>
      <c r="CV276" s="1"/>
      <c r="DC276" s="1"/>
      <c r="DJ276" s="1"/>
      <c r="DQ276" s="1"/>
      <c r="DX276" s="1"/>
      <c r="EE276" s="1"/>
    </row>
    <row r="277" spans="1:140" x14ac:dyDescent="0.25">
      <c r="B277" t="s">
        <v>767</v>
      </c>
      <c r="C277">
        <f>MAX(C276,0.35)</f>
        <v>0.52854558337004487</v>
      </c>
      <c r="I277" t="s">
        <v>768</v>
      </c>
      <c r="J277">
        <f t="shared" ref="J277" si="290">MAX(J276,0.35)</f>
        <v>0.51461367024865345</v>
      </c>
      <c r="P277" t="s">
        <v>769</v>
      </c>
      <c r="Q277">
        <f t="shared" ref="Q277" si="291">MAX(Q276,0.35)</f>
        <v>0.49530284428348476</v>
      </c>
      <c r="W277" t="s">
        <v>770</v>
      </c>
      <c r="X277">
        <f t="shared" ref="X277" si="292">MAX(X276,0.35)</f>
        <v>0.47443019119769425</v>
      </c>
      <c r="AD277" t="s">
        <v>771</v>
      </c>
      <c r="AE277">
        <f t="shared" ref="AE277" si="293">MAX(AE276,0.35)</f>
        <v>0.43790411684593233</v>
      </c>
      <c r="AK277" t="s">
        <v>772</v>
      </c>
      <c r="AL277">
        <f t="shared" ref="AL277" si="294">MAX(AL276,0.35)</f>
        <v>0.40397539226306356</v>
      </c>
      <c r="AR277" t="s">
        <v>773</v>
      </c>
      <c r="AS277">
        <f t="shared" ref="AS277" si="295">MAX(AS276,0.35)</f>
        <v>0.35</v>
      </c>
      <c r="AY277" t="s">
        <v>774</v>
      </c>
      <c r="AZ277">
        <f t="shared" ref="AZ277" si="296">MAX(AZ276,0.35)</f>
        <v>0.35</v>
      </c>
      <c r="BF277" t="s">
        <v>775</v>
      </c>
      <c r="BG277">
        <f t="shared" ref="BG277" si="297">MAX(BG276,0.35)</f>
        <v>0.35</v>
      </c>
      <c r="BM277" t="s">
        <v>776</v>
      </c>
      <c r="BN277">
        <f t="shared" ref="BN277" si="298">MAX(BN276,0.35)</f>
        <v>0.35</v>
      </c>
      <c r="BT277" t="s">
        <v>777</v>
      </c>
      <c r="BU277">
        <f t="shared" ref="BU277" si="299">MAX(BU276,0.35)</f>
        <v>0.35</v>
      </c>
    </row>
    <row r="279" spans="1:140" x14ac:dyDescent="0.25">
      <c r="B279" t="s">
        <v>404</v>
      </c>
      <c r="C279">
        <f>$C$124*SQRT($C$45/C277)*SQRT(2.7/$C$39)</f>
        <v>3.7669461135445941</v>
      </c>
      <c r="D279">
        <f>C279*2</f>
        <v>7.5338922270891882</v>
      </c>
      <c r="I279" t="s">
        <v>404</v>
      </c>
      <c r="J279">
        <f>$C$124*SQRT($C$45/J277)*SQRT(2.7/$C$39)</f>
        <v>3.8175960476057882</v>
      </c>
      <c r="K279">
        <f t="shared" ref="K279" si="300">J279*2</f>
        <v>7.6351920952115764</v>
      </c>
      <c r="P279" t="s">
        <v>404</v>
      </c>
      <c r="Q279">
        <f>$C$124*SQRT($C$45/Q277)*SQRT(2.7/$C$39)</f>
        <v>3.8913045398550885</v>
      </c>
      <c r="R279">
        <f t="shared" ref="R279" si="301">Q279*2</f>
        <v>7.782609079710177</v>
      </c>
      <c r="W279" t="s">
        <v>404</v>
      </c>
      <c r="X279">
        <f>$C$124*SQRT($C$45/X277)*SQRT(2.7/$C$39)</f>
        <v>3.9759825761577821</v>
      </c>
      <c r="Y279">
        <f t="shared" ref="Y279" si="302">X279*2</f>
        <v>7.9519651523155641</v>
      </c>
      <c r="AD279" t="s">
        <v>404</v>
      </c>
      <c r="AE279">
        <f>$C$124*SQRT($C$45/AE277)*SQRT(2.7/$C$39)</f>
        <v>4.1384824481136047</v>
      </c>
      <c r="AF279">
        <f t="shared" ref="AF279" si="303">AE279*2</f>
        <v>8.2769648962272093</v>
      </c>
      <c r="AK279" t="s">
        <v>404</v>
      </c>
      <c r="AL279">
        <f>$C$124*SQRT($C$45/AL277)*SQRT(2.7/$C$39)</f>
        <v>4.3087686482250875</v>
      </c>
      <c r="AM279">
        <f t="shared" ref="AM279" si="304">AL279*2</f>
        <v>8.6175372964501751</v>
      </c>
      <c r="AR279" t="s">
        <v>404</v>
      </c>
      <c r="AS279">
        <f>$C$124*SQRT($C$45/AS277)*SQRT(2.7/$C$39)</f>
        <v>4.6291004988627575</v>
      </c>
      <c r="AT279">
        <f t="shared" ref="AT279" si="305">AS279*2</f>
        <v>9.2582009977255151</v>
      </c>
      <c r="AY279" t="s">
        <v>404</v>
      </c>
      <c r="AZ279">
        <f>$C$124*SQRT($C$45/AZ277)*SQRT(2.7/$C$39)</f>
        <v>4.6291004988627575</v>
      </c>
      <c r="BA279">
        <f t="shared" ref="BA279" si="306">AZ279*2</f>
        <v>9.2582009977255151</v>
      </c>
      <c r="BF279" t="s">
        <v>404</v>
      </c>
      <c r="BG279">
        <f>$C$124*SQRT($C$45/BG277)*SQRT(2.7/$C$39)</f>
        <v>4.6291004988627575</v>
      </c>
      <c r="BH279">
        <f t="shared" ref="BH279" si="307">BG279*2</f>
        <v>9.2582009977255151</v>
      </c>
      <c r="BM279" t="s">
        <v>404</v>
      </c>
      <c r="BN279">
        <f>$C$124*SQRT($C$45/BN277)*SQRT(2.7/$C$39)</f>
        <v>4.6291004988627575</v>
      </c>
      <c r="BO279">
        <f t="shared" ref="BO279" si="308">BN279*2</f>
        <v>9.2582009977255151</v>
      </c>
      <c r="BT279" t="s">
        <v>404</v>
      </c>
      <c r="BU279">
        <f>$C$124*SQRT($C$45/BU277)*SQRT(2.7/$C$39)</f>
        <v>4.6291004988627575</v>
      </c>
      <c r="BV279">
        <f t="shared" ref="BV279" si="309">BU279*2</f>
        <v>9.2582009977255151</v>
      </c>
    </row>
    <row r="280" spans="1:140" x14ac:dyDescent="0.25">
      <c r="B280" t="s">
        <v>301</v>
      </c>
      <c r="C280">
        <f>C264*$C$39/2</f>
        <v>6.4345870652606001</v>
      </c>
      <c r="D280">
        <f>C280*2</f>
        <v>12.8691741305212</v>
      </c>
      <c r="I280" t="s">
        <v>301</v>
      </c>
      <c r="J280">
        <f>J264*$C$39/2</f>
        <v>6.4849717426255662</v>
      </c>
      <c r="K280">
        <f t="shared" ref="K280" si="310">J280*2</f>
        <v>12.969943485251132</v>
      </c>
      <c r="P280" t="s">
        <v>301</v>
      </c>
      <c r="Q280">
        <f>Q264*$C$39/2</f>
        <v>6.5436982485759092</v>
      </c>
      <c r="R280">
        <f t="shared" ref="R280" si="311">Q280*2</f>
        <v>13.087396497151818</v>
      </c>
      <c r="W280" t="s">
        <v>301</v>
      </c>
      <c r="X280">
        <f>X264*$C$39/2</f>
        <v>6.5981808541694713</v>
      </c>
      <c r="Y280">
        <f t="shared" ref="Y280" si="312">X280*2</f>
        <v>13.196361708338943</v>
      </c>
      <c r="AD280" t="s">
        <v>301</v>
      </c>
      <c r="AE280">
        <f>AE264*$C$39/2</f>
        <v>6.6796585186439676</v>
      </c>
      <c r="AF280">
        <f t="shared" ref="AF280" si="313">AE280*2</f>
        <v>13.359317037287935</v>
      </c>
      <c r="AK280" t="s">
        <v>301</v>
      </c>
      <c r="AL280">
        <f>AL264*$C$39/2</f>
        <v>6.7450667119911616</v>
      </c>
      <c r="AM280">
        <f t="shared" ref="AM280" si="314">AL280*2</f>
        <v>13.490133423982323</v>
      </c>
      <c r="AR280" t="s">
        <v>301</v>
      </c>
      <c r="AS280">
        <f>AS264*$C$39/2</f>
        <v>6.8597124502906093</v>
      </c>
      <c r="AT280">
        <f t="shared" ref="AT280" si="315">AS280*2</f>
        <v>13.719424900581219</v>
      </c>
      <c r="AY280" t="s">
        <v>301</v>
      </c>
      <c r="AZ280">
        <f>AZ264*$C$39/2</f>
        <v>7.0170459765315085</v>
      </c>
      <c r="BA280">
        <f t="shared" ref="BA280" si="316">AZ280*2</f>
        <v>14.034091953063017</v>
      </c>
      <c r="BF280" t="s">
        <v>301</v>
      </c>
      <c r="BG280">
        <f>BG264*$C$39/2</f>
        <v>7.1447990771005587</v>
      </c>
      <c r="BH280">
        <f t="shared" ref="BH280" si="317">BG280*2</f>
        <v>14.289598154201117</v>
      </c>
      <c r="BM280" t="s">
        <v>301</v>
      </c>
      <c r="BN280">
        <f>BN264*$C$39/2</f>
        <v>7.2922566004317275</v>
      </c>
      <c r="BO280">
        <f t="shared" ref="BO280" si="318">BN280*2</f>
        <v>14.584513200863455</v>
      </c>
      <c r="BT280" t="s">
        <v>301</v>
      </c>
      <c r="BU280">
        <f>BU264*$C$39/2</f>
        <v>7.4923679060665362</v>
      </c>
      <c r="BV280">
        <f t="shared" ref="BV280" si="319">BU280*2</f>
        <v>14.984735812133072</v>
      </c>
    </row>
    <row r="281" spans="1:140" x14ac:dyDescent="0.25">
      <c r="B281" t="s">
        <v>403</v>
      </c>
      <c r="C281">
        <f>MIN(C279:C280)</f>
        <v>3.7669461135445941</v>
      </c>
      <c r="I281" t="s">
        <v>403</v>
      </c>
      <c r="J281">
        <f t="shared" ref="J281" si="320">MIN(J279:J280)</f>
        <v>3.8175960476057882</v>
      </c>
      <c r="P281" t="s">
        <v>403</v>
      </c>
      <c r="Q281">
        <f t="shared" ref="Q281" si="321">MIN(Q279:Q280)</f>
        <v>3.8913045398550885</v>
      </c>
      <c r="W281" t="s">
        <v>403</v>
      </c>
      <c r="X281">
        <f t="shared" ref="X281" si="322">MIN(X279:X280)</f>
        <v>3.9759825761577821</v>
      </c>
      <c r="AD281" t="s">
        <v>403</v>
      </c>
      <c r="AE281">
        <f t="shared" ref="AE281" si="323">MIN(AE279:AE280)</f>
        <v>4.1384824481136047</v>
      </c>
      <c r="AK281" t="s">
        <v>403</v>
      </c>
      <c r="AL281">
        <f t="shared" ref="AL281" si="324">MIN(AL279:AL280)</f>
        <v>4.3087686482250875</v>
      </c>
      <c r="AR281" t="s">
        <v>403</v>
      </c>
      <c r="AS281">
        <f t="shared" ref="AS281" si="325">MIN(AS279:AS280)</f>
        <v>4.6291004988627575</v>
      </c>
      <c r="AY281" t="s">
        <v>403</v>
      </c>
      <c r="AZ281">
        <f t="shared" ref="AZ281" si="326">MIN(AZ279:AZ280)</f>
        <v>4.6291004988627575</v>
      </c>
      <c r="BF281" t="s">
        <v>403</v>
      </c>
      <c r="BG281">
        <f t="shared" ref="BG281" si="327">MIN(BG279:BG280)</f>
        <v>4.6291004988627575</v>
      </c>
      <c r="BM281" t="s">
        <v>403</v>
      </c>
      <c r="BN281">
        <f t="shared" ref="BN281" si="328">MIN(BN279:BN280)</f>
        <v>4.6291004988627575</v>
      </c>
      <c r="BT281" t="s">
        <v>403</v>
      </c>
      <c r="BU281">
        <f t="shared" ref="BU281" si="329">MIN(BU279:BU280)</f>
        <v>4.6291004988627575</v>
      </c>
    </row>
    <row r="282" spans="1:140" x14ac:dyDescent="0.25">
      <c r="B282" t="s">
        <v>406</v>
      </c>
      <c r="C282">
        <f>C281*$C$126</f>
        <v>7.5338922270891882</v>
      </c>
      <c r="I282" t="s">
        <v>406</v>
      </c>
      <c r="J282">
        <f t="shared" ref="J282" si="330">J281*$C$126</f>
        <v>7.6351920952115764</v>
      </c>
      <c r="P282" t="s">
        <v>406</v>
      </c>
      <c r="Q282">
        <f t="shared" ref="Q282" si="331">Q281*$C$126</f>
        <v>7.782609079710177</v>
      </c>
      <c r="W282" t="s">
        <v>406</v>
      </c>
      <c r="X282">
        <f t="shared" ref="X282" si="332">X281*$C$126</f>
        <v>7.9519651523155641</v>
      </c>
      <c r="AD282" t="s">
        <v>406</v>
      </c>
      <c r="AE282">
        <f t="shared" ref="AE282" si="333">AE281*$C$126</f>
        <v>8.2769648962272093</v>
      </c>
      <c r="AK282" t="s">
        <v>406</v>
      </c>
      <c r="AL282">
        <f t="shared" ref="AL282" si="334">AL281*$C$126</f>
        <v>8.6175372964501751</v>
      </c>
      <c r="AR282" t="s">
        <v>406</v>
      </c>
      <c r="AS282">
        <f t="shared" ref="AS282" si="335">AS281*$C$126</f>
        <v>9.2582009977255151</v>
      </c>
      <c r="AY282" t="s">
        <v>406</v>
      </c>
      <c r="AZ282">
        <f t="shared" ref="AZ282" si="336">AZ281*$C$126</f>
        <v>9.2582009977255151</v>
      </c>
      <c r="BF282" t="s">
        <v>406</v>
      </c>
      <c r="BG282">
        <f t="shared" ref="BG282" si="337">BG281*$C$126</f>
        <v>9.2582009977255151</v>
      </c>
      <c r="BM282" t="s">
        <v>406</v>
      </c>
      <c r="BN282">
        <f t="shared" ref="BN282" si="338">BN281*$C$126</f>
        <v>9.2582009977255151</v>
      </c>
      <c r="BT282" t="s">
        <v>406</v>
      </c>
      <c r="BU282">
        <f t="shared" ref="BU282" si="339">BU281*$C$126</f>
        <v>9.2582009977255151</v>
      </c>
    </row>
    <row r="284" spans="1:140" x14ac:dyDescent="0.25">
      <c r="A284" s="315"/>
      <c r="B284" s="316" t="s">
        <v>214</v>
      </c>
      <c r="C284" s="315"/>
      <c r="D284" s="315"/>
      <c r="E284" s="315"/>
      <c r="F284" s="315"/>
      <c r="G284" s="315"/>
      <c r="H284" s="315"/>
      <c r="I284" s="316" t="s">
        <v>214</v>
      </c>
      <c r="J284" s="315"/>
      <c r="K284" s="315"/>
      <c r="L284" s="315"/>
      <c r="M284" s="315"/>
      <c r="N284" s="315"/>
      <c r="O284" s="315"/>
      <c r="P284" s="316" t="s">
        <v>214</v>
      </c>
      <c r="Q284" s="315"/>
      <c r="R284" s="315"/>
      <c r="S284" s="315"/>
      <c r="T284" s="315"/>
      <c r="U284" s="315"/>
      <c r="V284" s="315"/>
      <c r="W284" s="316" t="s">
        <v>214</v>
      </c>
      <c r="X284" s="315"/>
      <c r="Y284" s="315"/>
      <c r="Z284" s="315"/>
      <c r="AA284" s="315"/>
      <c r="AB284" s="315"/>
      <c r="AC284" s="315"/>
      <c r="AD284" s="316" t="s">
        <v>214</v>
      </c>
      <c r="AE284" s="315"/>
      <c r="AF284" s="315"/>
      <c r="AG284" s="315"/>
      <c r="AH284" s="315"/>
      <c r="AI284" s="315"/>
      <c r="AJ284" s="315"/>
      <c r="AK284" s="316" t="s">
        <v>214</v>
      </c>
      <c r="AL284" s="315"/>
      <c r="AM284" s="315"/>
      <c r="AN284" s="315"/>
      <c r="AO284" s="315"/>
      <c r="AP284" s="315"/>
      <c r="AQ284" s="315"/>
      <c r="AR284" s="316" t="s">
        <v>214</v>
      </c>
      <c r="AS284" s="315"/>
      <c r="AT284" s="315"/>
      <c r="AU284" s="315"/>
      <c r="AV284" s="315"/>
      <c r="AW284" s="315"/>
      <c r="AX284" s="315"/>
      <c r="AY284" s="317" t="s">
        <v>214</v>
      </c>
      <c r="AZ284" s="315"/>
      <c r="BA284" s="315"/>
      <c r="BB284" s="315"/>
      <c r="BC284" s="315"/>
      <c r="BD284" s="315"/>
      <c r="BE284" s="315"/>
      <c r="BF284" s="316" t="s">
        <v>214</v>
      </c>
      <c r="BG284" s="315"/>
      <c r="BH284" s="315"/>
      <c r="BI284" s="315"/>
      <c r="BJ284" s="315"/>
      <c r="BK284" s="315"/>
      <c r="BL284" s="315"/>
      <c r="BM284" s="316" t="s">
        <v>214</v>
      </c>
      <c r="BN284" s="315"/>
      <c r="BO284" s="315"/>
      <c r="BP284" s="315"/>
      <c r="BQ284" s="315"/>
      <c r="BR284" s="315"/>
      <c r="BS284" s="315"/>
      <c r="BT284" s="316" t="s">
        <v>214</v>
      </c>
      <c r="BU284" s="315"/>
      <c r="BV284" s="315"/>
      <c r="BW284" s="315"/>
      <c r="BX284" s="315"/>
      <c r="BY284" s="315"/>
      <c r="BZ284" s="315"/>
      <c r="CA284" s="316"/>
      <c r="CB284" s="315"/>
      <c r="CC284" s="315"/>
      <c r="CD284" s="315"/>
      <c r="CE284" s="315"/>
      <c r="CF284" s="315"/>
      <c r="CG284" s="315"/>
      <c r="CH284" s="316"/>
      <c r="CI284" s="315"/>
      <c r="CJ284" s="315"/>
      <c r="CK284" s="315"/>
      <c r="CL284" s="315"/>
      <c r="CM284" s="315"/>
      <c r="CN284" s="315"/>
      <c r="CO284" s="316"/>
      <c r="CP284" s="315"/>
      <c r="CQ284" s="315"/>
      <c r="CR284" s="315"/>
      <c r="CS284" s="315"/>
      <c r="CT284" s="315"/>
      <c r="CU284" s="315"/>
      <c r="CV284" s="317"/>
      <c r="CW284" s="315"/>
      <c r="CX284" s="315"/>
      <c r="CY284" s="315"/>
      <c r="CZ284" s="315"/>
      <c r="DA284" s="315"/>
      <c r="DB284" s="315"/>
      <c r="DC284" s="316"/>
      <c r="DD284" s="315"/>
      <c r="DE284" s="315"/>
      <c r="DF284" s="315"/>
      <c r="DG284" s="315"/>
      <c r="DH284" s="315"/>
      <c r="DI284" s="315"/>
      <c r="DJ284" s="316"/>
      <c r="DK284" s="315"/>
      <c r="DL284" s="315"/>
      <c r="DM284" s="315"/>
      <c r="DN284" s="315"/>
      <c r="DO284" s="315"/>
      <c r="DP284" s="315"/>
      <c r="DQ284" s="316"/>
      <c r="DR284" s="315"/>
      <c r="DS284" s="315"/>
      <c r="DT284" s="315"/>
      <c r="DU284" s="315"/>
      <c r="DV284" s="315"/>
      <c r="DW284" s="315"/>
      <c r="DX284" s="316"/>
      <c r="DY284" s="315"/>
      <c r="DZ284" s="315"/>
      <c r="EA284" s="315"/>
      <c r="EB284" s="315"/>
      <c r="EC284" s="315"/>
      <c r="ED284" s="315"/>
      <c r="EE284" s="316"/>
      <c r="EF284" s="315"/>
      <c r="EG284" s="315"/>
      <c r="EH284" s="315"/>
      <c r="EI284" s="315"/>
      <c r="EJ284" s="315"/>
    </row>
    <row r="285" spans="1:140" x14ac:dyDescent="0.25">
      <c r="B285" t="s">
        <v>438</v>
      </c>
      <c r="C285">
        <v>-6.8984105064220144E-6</v>
      </c>
      <c r="E285" s="13"/>
      <c r="F285" s="13"/>
      <c r="G285" s="13"/>
      <c r="I285" t="s">
        <v>438</v>
      </c>
      <c r="J285">
        <v>-3.7348845386669504E-5</v>
      </c>
      <c r="L285" s="13"/>
      <c r="M285" s="13"/>
      <c r="N285" s="13"/>
      <c r="P285" t="s">
        <v>438</v>
      </c>
      <c r="Q285">
        <v>-6.5930102565977373E-5</v>
      </c>
      <c r="S285" s="13"/>
      <c r="T285" s="13"/>
      <c r="U285" s="13"/>
      <c r="W285" t="s">
        <v>438</v>
      </c>
      <c r="X285">
        <v>-8.7366742929216508E-5</v>
      </c>
      <c r="Z285" s="13"/>
      <c r="AA285" s="13"/>
      <c r="AB285" s="13"/>
      <c r="AD285" t="s">
        <v>438</v>
      </c>
      <c r="AE285">
        <v>-1.1262628113451229E-4</v>
      </c>
      <c r="AG285" s="13"/>
      <c r="AH285" s="13"/>
      <c r="AI285" s="13"/>
      <c r="AK285" t="s">
        <v>438</v>
      </c>
      <c r="AL285">
        <v>-1.3216671779533301E-4</v>
      </c>
      <c r="AN285" s="13"/>
      <c r="AO285" s="13"/>
      <c r="AP285" s="13"/>
      <c r="AR285" t="s">
        <v>438</v>
      </c>
      <c r="AS285">
        <v>-1.5358861288299999E-4</v>
      </c>
      <c r="AU285" s="13"/>
      <c r="AV285" s="13"/>
      <c r="AW285" s="13"/>
      <c r="AY285" t="s">
        <v>438</v>
      </c>
      <c r="AZ285">
        <v>-1.7586292067499999E-4</v>
      </c>
      <c r="BB285" s="13"/>
      <c r="BC285" s="13"/>
      <c r="BD285" s="13"/>
      <c r="BF285" t="s">
        <v>438</v>
      </c>
      <c r="BG285">
        <v>-1.8872040632299995E-4</v>
      </c>
      <c r="BI285" s="13"/>
      <c r="BJ285" s="13"/>
      <c r="BK285" s="13"/>
      <c r="BM285" t="s">
        <v>438</v>
      </c>
      <c r="BN285">
        <v>-2.00674261808E-4</v>
      </c>
      <c r="BP285" s="13"/>
      <c r="BQ285" s="13"/>
      <c r="BR285" s="13"/>
      <c r="BT285" t="s">
        <v>438</v>
      </c>
      <c r="BU285">
        <v>-2.1294149446699997E-4</v>
      </c>
      <c r="BW285" s="13"/>
      <c r="BX285" s="13"/>
      <c r="BY285" s="13"/>
      <c r="CB285" s="10"/>
      <c r="CD285" s="13"/>
      <c r="CE285" s="13"/>
      <c r="CF285" s="13"/>
      <c r="CI285" s="10"/>
      <c r="CK285" s="13"/>
      <c r="CL285" s="13"/>
      <c r="CM285" s="13"/>
      <c r="CP285" s="10"/>
      <c r="CR285" s="13"/>
      <c r="CS285" s="13"/>
      <c r="CT285" s="13"/>
      <c r="CV285" s="157"/>
      <c r="CW285" s="10"/>
      <c r="CY285" s="13"/>
      <c r="CZ285" s="13"/>
      <c r="DA285" s="13"/>
      <c r="DD285" s="10"/>
      <c r="DF285" s="13"/>
      <c r="DG285" s="13"/>
      <c r="DH285" s="13"/>
      <c r="DK285" s="10"/>
      <c r="DM285" s="13"/>
      <c r="DN285" s="13"/>
      <c r="DO285" s="13"/>
      <c r="DR285" s="10"/>
      <c r="DT285" s="13"/>
      <c r="DU285" s="13"/>
      <c r="DV285" s="13"/>
      <c r="DY285" s="10"/>
      <c r="EA285" s="13"/>
      <c r="EB285" s="13"/>
      <c r="EC285" s="13"/>
      <c r="EF285" s="10"/>
      <c r="EH285" s="13"/>
      <c r="EI285" s="13"/>
      <c r="EJ285" s="13"/>
    </row>
    <row r="286" spans="1:140" x14ac:dyDescent="0.25">
      <c r="B286" t="s">
        <v>439</v>
      </c>
      <c r="C286">
        <v>6.2269523151926617E-2</v>
      </c>
      <c r="E286" s="13"/>
      <c r="F286" s="13"/>
      <c r="G286" s="13"/>
      <c r="I286" t="s">
        <v>439</v>
      </c>
      <c r="J286">
        <v>7.140465361600086E-2</v>
      </c>
      <c r="L286" s="13"/>
      <c r="M286" s="13"/>
      <c r="N286" s="13"/>
      <c r="P286" t="s">
        <v>439</v>
      </c>
      <c r="Q286">
        <v>7.9979030769793236E-2</v>
      </c>
      <c r="S286" s="13"/>
      <c r="T286" s="13"/>
      <c r="U286" s="13"/>
      <c r="W286" t="s">
        <v>439</v>
      </c>
      <c r="X286">
        <v>8.6410022878764967E-2</v>
      </c>
      <c r="Z286" s="13"/>
      <c r="AA286" s="13"/>
      <c r="AB286" s="13"/>
      <c r="AD286" t="s">
        <v>439</v>
      </c>
      <c r="AE286">
        <v>9.3987884340353711E-2</v>
      </c>
      <c r="AG286" s="13"/>
      <c r="AH286" s="13"/>
      <c r="AI286" s="13"/>
      <c r="AK286" t="s">
        <v>439</v>
      </c>
      <c r="AL286">
        <v>9.9850015338599912E-2</v>
      </c>
      <c r="AN286" s="13"/>
      <c r="AO286" s="13"/>
      <c r="AP286" s="13"/>
      <c r="AR286" t="s">
        <v>439</v>
      </c>
      <c r="AS286">
        <v>0.10627658386490001</v>
      </c>
      <c r="AU286" s="13"/>
      <c r="AV286" s="13"/>
      <c r="AW286" s="13"/>
      <c r="AY286" t="s">
        <v>439</v>
      </c>
      <c r="AZ286">
        <v>0.1129588762025</v>
      </c>
      <c r="BB286" s="13"/>
      <c r="BC286" s="13"/>
      <c r="BD286" s="13"/>
      <c r="BF286" t="s">
        <v>439</v>
      </c>
      <c r="BG286">
        <v>0.11681612189689999</v>
      </c>
      <c r="BI286" s="13"/>
      <c r="BJ286" s="13"/>
      <c r="BK286" s="13"/>
      <c r="BM286" t="s">
        <v>439</v>
      </c>
      <c r="BN286">
        <v>0.1204022785424</v>
      </c>
      <c r="BP286" s="13"/>
      <c r="BQ286" s="13"/>
      <c r="BR286" s="13"/>
      <c r="BT286" t="s">
        <v>439</v>
      </c>
      <c r="BU286">
        <v>0.1240824483401</v>
      </c>
      <c r="BW286" s="13"/>
      <c r="BX286" s="13"/>
      <c r="BY286" s="13"/>
      <c r="CB286" s="10"/>
      <c r="CD286" s="13"/>
      <c r="CE286" s="13"/>
      <c r="CF286" s="13"/>
      <c r="CI286" s="10"/>
      <c r="CK286" s="13"/>
      <c r="CL286" s="13"/>
      <c r="CM286" s="13"/>
      <c r="CP286" s="10"/>
      <c r="CR286" s="13"/>
      <c r="CS286" s="13"/>
      <c r="CT286" s="13"/>
      <c r="CV286" s="157"/>
      <c r="CW286" s="10"/>
      <c r="CY286" s="13"/>
      <c r="CZ286" s="13"/>
      <c r="DA286" s="13"/>
      <c r="DD286" s="10"/>
      <c r="DF286" s="13"/>
      <c r="DG286" s="13"/>
      <c r="DH286" s="13"/>
      <c r="DK286" s="10"/>
      <c r="DM286" s="13"/>
      <c r="DN286" s="13"/>
      <c r="DO286" s="13"/>
      <c r="DR286" s="10"/>
      <c r="DT286" s="13"/>
      <c r="DU286" s="13"/>
      <c r="DV286" s="13"/>
      <c r="DY286" s="10"/>
      <c r="EA286" s="13"/>
      <c r="EB286" s="13"/>
      <c r="EC286" s="13"/>
      <c r="EF286" s="10"/>
      <c r="EH286" s="13"/>
      <c r="EI286" s="13"/>
      <c r="EJ286" s="13"/>
    </row>
    <row r="287" spans="1:140" x14ac:dyDescent="0.25">
      <c r="B287" t="s">
        <v>96</v>
      </c>
      <c r="C287">
        <v>-1.18280156754129</v>
      </c>
      <c r="E287" s="13"/>
      <c r="F287" s="13"/>
      <c r="G287" s="13"/>
      <c r="I287" t="s">
        <v>96</v>
      </c>
      <c r="J287">
        <v>-1.1845862848023501</v>
      </c>
      <c r="L287" s="13"/>
      <c r="M287" s="13"/>
      <c r="N287" s="13"/>
      <c r="P287" t="s">
        <v>96</v>
      </c>
      <c r="Q287">
        <v>-1.1483812214689206</v>
      </c>
      <c r="S287" s="13"/>
      <c r="T287" s="13"/>
      <c r="U287" s="13"/>
      <c r="W287" t="s">
        <v>96</v>
      </c>
      <c r="X287">
        <v>-1.1069757827613533</v>
      </c>
      <c r="Z287" s="13"/>
      <c r="AA287" s="13"/>
      <c r="AB287" s="13"/>
      <c r="AD287" t="s">
        <v>96</v>
      </c>
      <c r="AE287">
        <v>-1.0472029652385813</v>
      </c>
      <c r="AG287" s="13"/>
      <c r="AH287" s="13"/>
      <c r="AI287" s="13"/>
      <c r="AK287" t="s">
        <v>96</v>
      </c>
      <c r="AL287">
        <v>-0.99463643932577983</v>
      </c>
      <c r="AN287" s="13"/>
      <c r="AO287" s="13"/>
      <c r="AP287" s="13"/>
      <c r="AR287" t="s">
        <v>96</v>
      </c>
      <c r="AS287">
        <v>-0.93190268078000016</v>
      </c>
      <c r="AU287" s="13"/>
      <c r="AV287" s="13"/>
      <c r="AW287" s="13"/>
      <c r="AY287" t="s">
        <v>96</v>
      </c>
      <c r="AZ287">
        <v>-0.86194069550000019</v>
      </c>
      <c r="BB287" s="13"/>
      <c r="BC287" s="13"/>
      <c r="BD287" s="13"/>
      <c r="BF287" t="s">
        <v>96</v>
      </c>
      <c r="BG287">
        <v>-0.81965819118000005</v>
      </c>
      <c r="BI287" s="13"/>
      <c r="BJ287" s="13"/>
      <c r="BK287" s="13"/>
      <c r="BM287" t="s">
        <v>96</v>
      </c>
      <c r="BN287">
        <v>-0.77923252127999998</v>
      </c>
      <c r="BP287" s="13"/>
      <c r="BQ287" s="13"/>
      <c r="BR287" s="13"/>
      <c r="BT287" t="s">
        <v>96</v>
      </c>
      <c r="BU287">
        <v>-0.73671767022000001</v>
      </c>
      <c r="BW287" s="13"/>
      <c r="BX287" s="13"/>
      <c r="BY287" s="13"/>
      <c r="CB287" s="10"/>
      <c r="CD287" s="13"/>
      <c r="CE287" s="13"/>
      <c r="CF287" s="13"/>
      <c r="CI287" s="10"/>
      <c r="CK287" s="13"/>
      <c r="CL287" s="13"/>
      <c r="CM287" s="13"/>
      <c r="CP287" s="10"/>
      <c r="CR287" s="13"/>
      <c r="CS287" s="13"/>
      <c r="CT287" s="13"/>
      <c r="CV287" s="157"/>
      <c r="CW287" s="10"/>
      <c r="CY287" s="13"/>
      <c r="CZ287" s="13"/>
      <c r="DA287" s="13"/>
      <c r="DD287" s="10"/>
      <c r="DF287" s="13"/>
      <c r="DG287" s="13"/>
      <c r="DH287" s="13"/>
      <c r="DK287" s="10"/>
      <c r="DM287" s="13"/>
      <c r="DN287" s="13"/>
      <c r="DO287" s="13"/>
      <c r="DR287" s="10"/>
      <c r="DT287" s="13"/>
      <c r="DU287" s="13"/>
      <c r="DV287" s="13"/>
      <c r="DY287" s="10"/>
      <c r="EA287" s="13"/>
      <c r="EB287" s="13"/>
      <c r="EC287" s="13"/>
      <c r="EF287" s="10"/>
      <c r="EH287" s="13"/>
      <c r="EI287" s="13"/>
      <c r="EJ287" s="13"/>
    </row>
    <row r="288" spans="1:140" x14ac:dyDescent="0.25">
      <c r="B288" t="s">
        <v>31</v>
      </c>
      <c r="C288" s="10">
        <f>C285*$C$14^2+C286*$C$14+C287</f>
        <v>4.9751666425871521</v>
      </c>
      <c r="E288" s="13"/>
      <c r="F288" s="13"/>
      <c r="G288" s="13"/>
      <c r="I288" t="s">
        <v>31</v>
      </c>
      <c r="J288" s="10">
        <f t="shared" ref="J288" si="340">J285*$C$14^2+J286*$C$14+J287</f>
        <v>5.5823906229310403</v>
      </c>
      <c r="L288" s="13"/>
      <c r="M288" s="13"/>
      <c r="N288" s="13"/>
      <c r="P288" t="s">
        <v>31</v>
      </c>
      <c r="Q288" s="10">
        <f t="shared" ref="Q288" si="341">Q285*$C$14^2+Q286*$C$14+Q287</f>
        <v>6.1902208298506292</v>
      </c>
      <c r="S288" s="13"/>
      <c r="T288" s="13"/>
      <c r="U288" s="13"/>
      <c r="W288" t="s">
        <v>31</v>
      </c>
      <c r="X288" s="10">
        <f t="shared" ref="X288" si="342">X285*$C$14^2+X286*$C$14+X287</f>
        <v>6.6603590758229778</v>
      </c>
      <c r="Z288" s="13"/>
      <c r="AA288" s="13"/>
      <c r="AB288" s="13"/>
      <c r="AD288" t="s">
        <v>31</v>
      </c>
      <c r="AE288" s="10">
        <f t="shared" ref="AE288" si="343">AE285*$C$14^2+AE286*$C$14+AE287</f>
        <v>7.2253226574516667</v>
      </c>
      <c r="AG288" s="13"/>
      <c r="AH288" s="13"/>
      <c r="AI288" s="13"/>
      <c r="AK288" t="s">
        <v>31</v>
      </c>
      <c r="AL288" s="10">
        <f t="shared" ref="AL288" si="344">AL285*$C$14^2+AL286*$C$14+AL287</f>
        <v>7.6686979165808813</v>
      </c>
      <c r="AN288" s="13"/>
      <c r="AO288" s="13"/>
      <c r="AP288" s="13"/>
      <c r="AR288" t="s">
        <v>31</v>
      </c>
      <c r="AS288" s="10">
        <f t="shared" ref="AS288" si="345">AS285*$C$14^2+AS286*$C$14+AS287</f>
        <v>8.1598695768800003</v>
      </c>
      <c r="AU288" s="13"/>
      <c r="AV288" s="13"/>
      <c r="AW288" s="13"/>
      <c r="AY288" t="s">
        <v>31</v>
      </c>
      <c r="AZ288" s="10">
        <f t="shared" ref="AZ288" si="346">AZ285*$C$14^2+AZ286*$C$14+AZ287</f>
        <v>8.6753177180000005</v>
      </c>
      <c r="BB288" s="13"/>
      <c r="BC288" s="13"/>
      <c r="BD288" s="13"/>
      <c r="BF288" t="s">
        <v>31</v>
      </c>
      <c r="BG288" s="10">
        <f t="shared" ref="BG288" si="347">BG285*$C$14^2+BG286*$C$14+BG287</f>
        <v>8.9747499352800002</v>
      </c>
      <c r="BI288" s="13"/>
      <c r="BJ288" s="13"/>
      <c r="BK288" s="13"/>
      <c r="BM288" t="s">
        <v>31</v>
      </c>
      <c r="BN288" s="10">
        <f t="shared" ref="BN288" si="348">BN285*$C$14^2+BN286*$C$14+BN287</f>
        <v>9.2542527148799998</v>
      </c>
      <c r="BP288" s="13"/>
      <c r="BQ288" s="13"/>
      <c r="BR288" s="13"/>
      <c r="BT288" t="s">
        <v>31</v>
      </c>
      <c r="BU288" s="10">
        <f t="shared" ref="BU288" si="349">BU285*$C$14^2+BU286*$C$14+BU287</f>
        <v>9.5421122191199998</v>
      </c>
      <c r="BW288" s="13"/>
      <c r="BX288" s="13"/>
      <c r="BY288" s="13"/>
      <c r="CB288" s="10"/>
      <c r="CD288" s="13"/>
      <c r="CE288" s="13"/>
      <c r="CF288" s="13"/>
      <c r="CI288" s="10"/>
      <c r="CK288" s="13"/>
      <c r="CL288" s="13"/>
      <c r="CM288" s="13"/>
      <c r="CP288" s="10"/>
      <c r="CR288" s="13"/>
      <c r="CS288" s="13"/>
      <c r="CT288" s="13"/>
      <c r="CV288" s="157"/>
      <c r="CW288" s="10"/>
      <c r="CY288" s="13"/>
      <c r="CZ288" s="13"/>
      <c r="DA288" s="13"/>
      <c r="DD288" s="10"/>
      <c r="DF288" s="13"/>
      <c r="DG288" s="13"/>
      <c r="DH288" s="13"/>
      <c r="DK288" s="10"/>
      <c r="DM288" s="13"/>
      <c r="DN288" s="13"/>
      <c r="DO288" s="13"/>
      <c r="DR288" s="10"/>
      <c r="DT288" s="13"/>
      <c r="DU288" s="13"/>
      <c r="DV288" s="13"/>
      <c r="DY288" s="10"/>
      <c r="EA288" s="13"/>
      <c r="EB288" s="13"/>
      <c r="EC288" s="13"/>
      <c r="EF288" s="10"/>
      <c r="EH288" s="13"/>
      <c r="EI288" s="13"/>
      <c r="EJ288" s="13"/>
    </row>
    <row r="289" spans="2:143" x14ac:dyDescent="0.25">
      <c r="B289" t="s">
        <v>32</v>
      </c>
      <c r="C289">
        <f>0.0656*$C$39^2-0.7582*$C$39+2.2422</f>
        <v>0.67328399999999977</v>
      </c>
      <c r="I289" t="s">
        <v>32</v>
      </c>
      <c r="J289">
        <f t="shared" ref="J289" si="350">0.0656*$C$39^2-0.7582*$C$39+2.2422</f>
        <v>0.67328399999999977</v>
      </c>
      <c r="P289" t="s">
        <v>32</v>
      </c>
      <c r="Q289">
        <f t="shared" ref="Q289" si="351">0.0656*$C$39^2-0.7582*$C$39+2.2422</f>
        <v>0.67328399999999977</v>
      </c>
      <c r="W289" t="s">
        <v>32</v>
      </c>
      <c r="X289">
        <f t="shared" ref="X289" si="352">0.0656*$C$39^2-0.7582*$C$39+2.2422</f>
        <v>0.67328399999999977</v>
      </c>
      <c r="AD289" t="s">
        <v>32</v>
      </c>
      <c r="AE289">
        <f t="shared" ref="AE289" si="353">0.0656*$C$39^2-0.7582*$C$39+2.2422</f>
        <v>0.67328399999999977</v>
      </c>
      <c r="AK289" t="s">
        <v>32</v>
      </c>
      <c r="AL289">
        <f t="shared" ref="AL289" si="354">0.0656*$C$39^2-0.7582*$C$39+2.2422</f>
        <v>0.67328399999999977</v>
      </c>
      <c r="AR289" t="s">
        <v>32</v>
      </c>
      <c r="AS289">
        <f t="shared" ref="AS289" si="355">0.0656*$C$39^2-0.7582*$C$39+2.2422</f>
        <v>0.67328399999999977</v>
      </c>
      <c r="AY289" t="s">
        <v>32</v>
      </c>
      <c r="AZ289">
        <f t="shared" ref="AZ289" si="356">0.0656*$C$39^2-0.7582*$C$39+2.2422</f>
        <v>0.67328399999999977</v>
      </c>
      <c r="BF289" t="s">
        <v>32</v>
      </c>
      <c r="BG289">
        <f t="shared" ref="BG289" si="357">0.0656*$C$39^2-0.7582*$C$39+2.2422</f>
        <v>0.67328399999999977</v>
      </c>
      <c r="BM289" t="s">
        <v>32</v>
      </c>
      <c r="BN289">
        <f t="shared" ref="BN289" si="358">0.0656*$C$39^2-0.7582*$C$39+2.2422</f>
        <v>0.67328399999999977</v>
      </c>
      <c r="BT289" t="s">
        <v>32</v>
      </c>
      <c r="BU289">
        <f t="shared" ref="BU289" si="359">0.0656*$C$39^2-0.7582*$C$39+2.2422</f>
        <v>0.67328399999999977</v>
      </c>
      <c r="CV289" s="157"/>
      <c r="EM289" s="9"/>
    </row>
    <row r="290" spans="2:143" x14ac:dyDescent="0.25">
      <c r="B290" t="s">
        <v>33</v>
      </c>
      <c r="C290">
        <f>C289*C288</f>
        <v>3.3497000977876472</v>
      </c>
      <c r="I290" t="s">
        <v>33</v>
      </c>
      <c r="J290">
        <f>J289*J288</f>
        <v>3.7585342881695012</v>
      </c>
      <c r="P290" t="s">
        <v>33</v>
      </c>
      <c r="Q290">
        <f>Q289*Q288</f>
        <v>4.1677766412051493</v>
      </c>
      <c r="W290" t="s">
        <v>33</v>
      </c>
      <c r="X290">
        <f>X289*X288</f>
        <v>4.4843132000063965</v>
      </c>
      <c r="AD290" t="s">
        <v>33</v>
      </c>
      <c r="AE290">
        <f>AE289*AE288</f>
        <v>4.8646941400996866</v>
      </c>
      <c r="AK290" t="s">
        <v>33</v>
      </c>
      <c r="AL290">
        <f>AL289*AL288</f>
        <v>5.1632116080672406</v>
      </c>
      <c r="AR290" t="s">
        <v>33</v>
      </c>
      <c r="AS290">
        <f>AS289*AS288</f>
        <v>5.4939096282000719</v>
      </c>
      <c r="AY290" s="157" t="s">
        <v>33</v>
      </c>
      <c r="AZ290">
        <f>AZ289*AZ288</f>
        <v>5.8409526144459107</v>
      </c>
      <c r="BF290" t="s">
        <v>33</v>
      </c>
      <c r="BG290">
        <f>BG289*BG288</f>
        <v>6.0425555354250573</v>
      </c>
      <c r="BM290" t="s">
        <v>33</v>
      </c>
      <c r="BN290">
        <f>BN289*BN288</f>
        <v>6.2307402848852638</v>
      </c>
      <c r="BT290" t="s">
        <v>33</v>
      </c>
      <c r="BU290">
        <f>BU289*BU288</f>
        <v>6.4245514833379875</v>
      </c>
      <c r="CV290" s="157"/>
    </row>
    <row r="291" spans="2:143" x14ac:dyDescent="0.25">
      <c r="B291" t="s">
        <v>34</v>
      </c>
      <c r="C291" s="10">
        <f>C290*2.22</f>
        <v>7.4363342170885778</v>
      </c>
      <c r="E291" s="13"/>
      <c r="F291" s="13"/>
      <c r="G291" s="13"/>
      <c r="I291" t="s">
        <v>34</v>
      </c>
      <c r="J291" s="10">
        <f t="shared" ref="J291" si="360">J290*2.22</f>
        <v>8.3439461197362927</v>
      </c>
      <c r="L291" s="13"/>
      <c r="M291" s="13"/>
      <c r="N291" s="13"/>
      <c r="P291" t="s">
        <v>34</v>
      </c>
      <c r="Q291" s="10">
        <f t="shared" ref="Q291" si="361">Q290*2.22</f>
        <v>9.2524641434754322</v>
      </c>
      <c r="S291" s="13"/>
      <c r="T291" s="13"/>
      <c r="U291" s="13"/>
      <c r="W291" t="s">
        <v>34</v>
      </c>
      <c r="X291" s="10">
        <f t="shared" ref="X291" si="362">X290*2.22</f>
        <v>9.955175304014201</v>
      </c>
      <c r="Z291" s="13"/>
      <c r="AA291" s="13"/>
      <c r="AB291" s="13"/>
      <c r="AD291" t="s">
        <v>34</v>
      </c>
      <c r="AE291" s="10">
        <f t="shared" ref="AE291" si="363">AE290*2.22</f>
        <v>10.799620991021305</v>
      </c>
      <c r="AG291" s="13"/>
      <c r="AH291" s="13"/>
      <c r="AI291" s="13"/>
      <c r="AK291" t="s">
        <v>34</v>
      </c>
      <c r="AL291" s="10">
        <f t="shared" ref="AL291" si="364">AL290*2.22</f>
        <v>11.462329769909275</v>
      </c>
      <c r="AN291" s="13"/>
      <c r="AO291" s="13"/>
      <c r="AP291" s="13"/>
      <c r="AR291" t="s">
        <v>34</v>
      </c>
      <c r="AS291" s="10">
        <f t="shared" ref="AS291" si="365">AS290*2.22</f>
        <v>12.196479374604161</v>
      </c>
      <c r="AU291" s="13"/>
      <c r="AV291" s="13"/>
      <c r="AW291" s="13"/>
      <c r="AY291" t="s">
        <v>34</v>
      </c>
      <c r="AZ291" s="10">
        <f t="shared" ref="AZ291" si="366">AZ290*2.22</f>
        <v>12.966914804069923</v>
      </c>
      <c r="BB291" s="13"/>
      <c r="BC291" s="13"/>
      <c r="BD291" s="13"/>
      <c r="BF291" t="s">
        <v>34</v>
      </c>
      <c r="BG291" s="10">
        <f t="shared" ref="BG291" si="367">BG290*2.22</f>
        <v>13.414473288643629</v>
      </c>
      <c r="BI291" s="13"/>
      <c r="BJ291" s="13"/>
      <c r="BK291" s="13"/>
      <c r="BM291" t="s">
        <v>34</v>
      </c>
      <c r="BN291" s="10">
        <f t="shared" ref="BN291" si="368">BN290*2.22</f>
        <v>13.832243432445287</v>
      </c>
      <c r="BP291" s="13"/>
      <c r="BQ291" s="13"/>
      <c r="BR291" s="13"/>
      <c r="BT291" t="s">
        <v>34</v>
      </c>
      <c r="BU291" s="10">
        <f t="shared" ref="BU291" si="369">BU290*2.22</f>
        <v>14.262504293010334</v>
      </c>
      <c r="BW291" s="13"/>
      <c r="BX291" s="13"/>
      <c r="BY291" s="13"/>
      <c r="CB291" s="10"/>
      <c r="CD291" s="13"/>
      <c r="CE291" s="13"/>
      <c r="CF291" s="13"/>
      <c r="CI291" s="10"/>
      <c r="CK291" s="13"/>
      <c r="CL291" s="13"/>
      <c r="CM291" s="13"/>
      <c r="CP291" s="10"/>
      <c r="CR291" s="13"/>
      <c r="CS291" s="13"/>
      <c r="CT291" s="13"/>
      <c r="CV291" s="157"/>
      <c r="CW291" s="10"/>
      <c r="CY291" s="13"/>
      <c r="CZ291" s="13"/>
      <c r="DA291" s="13"/>
      <c r="DD291" s="10"/>
      <c r="DF291" s="13"/>
      <c r="DG291" s="13"/>
      <c r="DH291" s="13"/>
      <c r="DK291" s="10"/>
      <c r="DM291" s="13"/>
      <c r="DN291" s="13"/>
      <c r="DO291" s="13"/>
      <c r="DR291" s="10"/>
      <c r="DT291" s="13"/>
      <c r="DU291" s="13"/>
      <c r="DV291" s="13"/>
      <c r="DY291" s="10"/>
      <c r="EA291" s="13"/>
      <c r="EB291" s="13"/>
      <c r="EC291" s="13"/>
      <c r="EF291" s="10"/>
      <c r="EH291" s="13"/>
      <c r="EI291" s="13"/>
      <c r="EJ291" s="13"/>
    </row>
    <row r="292" spans="2:143" x14ac:dyDescent="0.25">
      <c r="B292" t="s">
        <v>35</v>
      </c>
      <c r="C292" s="8">
        <f ca="1">-0.00506*$C$41^2+0.101*$C$41+0.498</f>
        <v>0.74834540000000005</v>
      </c>
      <c r="E292" s="13"/>
      <c r="F292" s="13"/>
      <c r="G292" s="13"/>
      <c r="I292" t="s">
        <v>35</v>
      </c>
      <c r="J292" s="8">
        <f ca="1">-0.00506*$C$41^2+0.101*$C$41+0.498</f>
        <v>0.74834540000000005</v>
      </c>
      <c r="L292" s="13"/>
      <c r="M292" s="13"/>
      <c r="N292" s="13"/>
      <c r="P292" t="s">
        <v>35</v>
      </c>
      <c r="Q292" s="8">
        <f ca="1">-0.00506*$C$41^2+0.101*$C$41+0.498</f>
        <v>0.74834540000000005</v>
      </c>
      <c r="S292" s="13"/>
      <c r="T292" s="13"/>
      <c r="U292" s="13"/>
      <c r="W292" t="s">
        <v>35</v>
      </c>
      <c r="X292" s="8">
        <f ca="1">-0.00506*$C$41^2+0.101*$C$41+0.498</f>
        <v>0.74834540000000005</v>
      </c>
      <c r="Z292" s="13"/>
      <c r="AA292" s="13"/>
      <c r="AB292" s="13"/>
      <c r="AD292" t="s">
        <v>35</v>
      </c>
      <c r="AE292" s="8">
        <f ca="1">-0.00506*$C$41^2+0.101*$C$41+0.498</f>
        <v>0.74834540000000005</v>
      </c>
      <c r="AG292" s="13"/>
      <c r="AH292" s="13"/>
      <c r="AI292" s="13"/>
      <c r="AK292" t="s">
        <v>35</v>
      </c>
      <c r="AL292" s="8">
        <f ca="1">-0.00506*$C$41^2+0.101*$C$41+0.498</f>
        <v>0.74834540000000005</v>
      </c>
      <c r="AN292" s="13"/>
      <c r="AO292" s="13"/>
      <c r="AP292" s="13"/>
      <c r="AR292" t="s">
        <v>35</v>
      </c>
      <c r="AS292" s="8">
        <f ca="1">-0.00506*$C$41^2+0.101*$C$41+0.498</f>
        <v>0.74834540000000005</v>
      </c>
      <c r="AU292" s="13"/>
      <c r="AV292" s="13"/>
      <c r="AW292" s="13"/>
      <c r="AY292" t="s">
        <v>35</v>
      </c>
      <c r="AZ292" s="8">
        <f ca="1">-0.00506*$C$41^2+0.101*$C$41+0.498</f>
        <v>0.74834540000000005</v>
      </c>
      <c r="BB292" s="13"/>
      <c r="BC292" s="13"/>
      <c r="BD292" s="13"/>
      <c r="BF292" t="s">
        <v>35</v>
      </c>
      <c r="BG292" s="8">
        <f ca="1">-0.00506*$C$41^2+0.101*$C$41+0.498</f>
        <v>0.74834540000000005</v>
      </c>
      <c r="BI292" s="13"/>
      <c r="BJ292" s="13"/>
      <c r="BK292" s="13"/>
      <c r="BM292" t="s">
        <v>35</v>
      </c>
      <c r="BN292" s="8">
        <f ca="1">-0.00506*$C$41^2+0.101*$C$41+0.498</f>
        <v>0.74834540000000005</v>
      </c>
      <c r="BP292" s="13"/>
      <c r="BQ292" s="13"/>
      <c r="BR292" s="13"/>
      <c r="BT292" t="s">
        <v>35</v>
      </c>
      <c r="BU292" s="8">
        <f ca="1">-0.00506*$C$41^2+0.101*$C$41+0.498</f>
        <v>0.74834540000000005</v>
      </c>
      <c r="BW292" s="13"/>
      <c r="BX292" s="13"/>
      <c r="BY292" s="13"/>
      <c r="CB292" s="10"/>
      <c r="CD292" s="13"/>
      <c r="CE292" s="13"/>
      <c r="CF292" s="13"/>
      <c r="CI292" s="10"/>
      <c r="CK292" s="13"/>
      <c r="CL292" s="13"/>
      <c r="CM292" s="13"/>
      <c r="CP292" s="10"/>
      <c r="CR292" s="13"/>
      <c r="CS292" s="13"/>
      <c r="CT292" s="13"/>
      <c r="CV292" s="157"/>
      <c r="CW292" s="10"/>
      <c r="CY292" s="13"/>
      <c r="CZ292" s="13"/>
      <c r="DA292" s="13"/>
      <c r="DD292" s="10"/>
      <c r="DF292" s="13"/>
      <c r="DG292" s="13"/>
      <c r="DH292" s="13"/>
      <c r="DK292" s="10"/>
      <c r="DM292" s="13"/>
      <c r="DN292" s="13"/>
      <c r="DO292" s="13"/>
      <c r="DR292" s="10"/>
      <c r="DT292" s="13"/>
      <c r="DU292" s="13"/>
      <c r="DV292" s="13"/>
      <c r="DY292" s="10"/>
      <c r="EA292" s="13"/>
      <c r="EB292" s="13"/>
      <c r="EC292" s="13"/>
      <c r="EF292" s="10"/>
      <c r="EH292" s="13"/>
      <c r="EI292" s="13"/>
      <c r="EJ292" s="13"/>
    </row>
    <row r="293" spans="2:143" x14ac:dyDescent="0.25">
      <c r="B293" t="s">
        <v>36</v>
      </c>
      <c r="C293" s="10">
        <f ca="1">C292*C291*$C$48*$C$46</f>
        <v>5.5649465042208393</v>
      </c>
      <c r="E293" s="13"/>
      <c r="F293" s="13"/>
      <c r="G293" s="13"/>
      <c r="I293" t="s">
        <v>36</v>
      </c>
      <c r="J293" s="10">
        <f ca="1">J292*J291*$C$48*$C$46</f>
        <v>6.2441536965525044</v>
      </c>
      <c r="L293" s="13"/>
      <c r="M293" s="13"/>
      <c r="N293" s="13"/>
      <c r="P293" t="s">
        <v>36</v>
      </c>
      <c r="Q293" s="10">
        <f ca="1">Q292*Q291*$C$48*$C$46</f>
        <v>6.9240389804347799</v>
      </c>
      <c r="S293" s="13"/>
      <c r="T293" s="13"/>
      <c r="U293" s="13"/>
      <c r="W293" t="s">
        <v>36</v>
      </c>
      <c r="X293" s="10">
        <f ca="1">X292*X291*$C$48*$C$46</f>
        <v>7.449909644952629</v>
      </c>
      <c r="AD293" t="s">
        <v>36</v>
      </c>
      <c r="AE293" s="10">
        <f ca="1">AE292*AE291*$C$48*$C$46</f>
        <v>8.0818466903742348</v>
      </c>
      <c r="AK293" t="s">
        <v>36</v>
      </c>
      <c r="AL293" s="10">
        <f ca="1">AL292*AL291*$C$48*$C$46</f>
        <v>8.5777817565946641</v>
      </c>
      <c r="AR293" t="s">
        <v>36</v>
      </c>
      <c r="AS293" s="10">
        <f ca="1">AS292*AS291*$C$48*$C$46</f>
        <v>9.1271792361799022</v>
      </c>
      <c r="AY293" s="157" t="s">
        <v>36</v>
      </c>
      <c r="AZ293" s="10">
        <f ca="1">AZ292*AZ291*$C$48*$C$46</f>
        <v>9.7037310458176282</v>
      </c>
      <c r="BB293" s="13"/>
      <c r="BC293" s="13"/>
      <c r="BD293" s="13"/>
      <c r="BF293" t="s">
        <v>36</v>
      </c>
      <c r="BG293" s="10">
        <f ca="1">BG292*BG291*$C$48*$C$46</f>
        <v>10.038659378979332</v>
      </c>
      <c r="BI293" s="13"/>
      <c r="BJ293" s="13"/>
      <c r="BK293" s="13"/>
      <c r="BM293" t="s">
        <v>36</v>
      </c>
      <c r="BN293" s="10">
        <f ca="1">BN292*BN291*$C$48*$C$46</f>
        <v>10.351295744350642</v>
      </c>
      <c r="BP293" s="13"/>
      <c r="BQ293" s="13"/>
      <c r="BR293" s="13"/>
      <c r="BT293" t="s">
        <v>36</v>
      </c>
      <c r="BU293" s="10">
        <f ca="1">BU292*BU291*$C$48*$C$46</f>
        <v>10.673279480154536</v>
      </c>
      <c r="BW293" s="13"/>
      <c r="BX293" s="13"/>
      <c r="BY293" s="13"/>
      <c r="CB293" s="10"/>
      <c r="CD293" s="13"/>
      <c r="CE293" s="13"/>
      <c r="CF293" s="13"/>
      <c r="CI293" s="10"/>
      <c r="CK293" s="13"/>
      <c r="CL293" s="13"/>
      <c r="CM293" s="13"/>
      <c r="CP293" s="10"/>
      <c r="CR293" s="13"/>
      <c r="CS293" s="13"/>
      <c r="CT293" s="13"/>
      <c r="CV293" s="157"/>
      <c r="CW293" s="10"/>
      <c r="CY293" s="13"/>
      <c r="CZ293" s="13"/>
      <c r="DA293" s="13"/>
      <c r="DD293" s="10"/>
      <c r="DF293" s="13"/>
      <c r="DG293" s="13"/>
      <c r="DH293" s="13"/>
      <c r="DK293" s="10"/>
      <c r="DM293" s="13"/>
      <c r="DN293" s="13"/>
      <c r="DO293" s="13"/>
      <c r="DR293" s="10"/>
      <c r="DT293" s="13"/>
      <c r="DU293" s="13"/>
      <c r="DV293" s="13"/>
      <c r="DY293" s="10"/>
      <c r="EA293" s="13"/>
      <c r="EB293" s="13"/>
      <c r="EC293" s="13"/>
      <c r="EF293" s="10"/>
      <c r="EH293" s="13"/>
      <c r="EI293" s="13"/>
      <c r="EJ293" s="13"/>
    </row>
    <row r="294" spans="2:143" x14ac:dyDescent="0.25">
      <c r="B294" t="s">
        <v>228</v>
      </c>
      <c r="C294" s="10">
        <f ca="1">C293*1.5</f>
        <v>8.3474197563312593</v>
      </c>
      <c r="E294" s="13"/>
      <c r="F294" s="13"/>
      <c r="G294" s="13"/>
      <c r="I294" t="s">
        <v>228</v>
      </c>
      <c r="J294" s="10">
        <f ca="1">J293*1.5</f>
        <v>9.3662305448287562</v>
      </c>
      <c r="L294" s="13"/>
      <c r="M294" s="13"/>
      <c r="N294" s="13"/>
      <c r="P294" t="s">
        <v>228</v>
      </c>
      <c r="Q294" s="10">
        <f ca="1">Q293*1.5</f>
        <v>10.38605847065217</v>
      </c>
      <c r="S294" s="13"/>
      <c r="T294" s="13"/>
      <c r="U294" s="13"/>
      <c r="W294" t="s">
        <v>228</v>
      </c>
      <c r="X294" s="10">
        <f ca="1">X293*1.5</f>
        <v>11.174864467428943</v>
      </c>
      <c r="AD294" t="s">
        <v>228</v>
      </c>
      <c r="AE294" s="10">
        <f ca="1">AE293*1.5</f>
        <v>12.122770035561352</v>
      </c>
      <c r="AK294" t="s">
        <v>228</v>
      </c>
      <c r="AL294" s="10">
        <f ca="1">AL293*1.5</f>
        <v>12.866672634891996</v>
      </c>
      <c r="AR294" t="s">
        <v>228</v>
      </c>
      <c r="AS294" s="10">
        <f ca="1">AS293*1.5</f>
        <v>13.690768854269853</v>
      </c>
      <c r="AY294" s="157" t="s">
        <v>228</v>
      </c>
      <c r="AZ294" s="10">
        <f ca="1">AZ293*1.5</f>
        <v>14.555596568726443</v>
      </c>
      <c r="BB294" s="13"/>
      <c r="BC294" s="13"/>
      <c r="BD294" s="13"/>
      <c r="BF294" t="s">
        <v>228</v>
      </c>
      <c r="BG294" s="10">
        <f ca="1">BG293*1.5</f>
        <v>15.057989068468999</v>
      </c>
      <c r="BI294" s="13"/>
      <c r="BJ294" s="13"/>
      <c r="BK294" s="13"/>
      <c r="BM294" t="s">
        <v>228</v>
      </c>
      <c r="BN294" s="10">
        <f ca="1">BN293*1.5</f>
        <v>15.526943616525962</v>
      </c>
      <c r="BP294" s="13"/>
      <c r="BQ294" s="13"/>
      <c r="BR294" s="13"/>
      <c r="BT294" t="s">
        <v>228</v>
      </c>
      <c r="BU294" s="10">
        <f ca="1">BU293*1.5</f>
        <v>16.009919220231804</v>
      </c>
      <c r="BW294" s="13"/>
      <c r="BX294" s="13"/>
      <c r="BY294" s="13"/>
      <c r="CB294" s="10"/>
      <c r="CD294" s="13"/>
      <c r="CE294" s="13"/>
      <c r="CF294" s="13"/>
      <c r="CI294" s="10"/>
      <c r="CK294" s="13"/>
      <c r="CL294" s="13"/>
      <c r="CM294" s="13"/>
      <c r="CP294" s="10"/>
      <c r="CR294" s="13"/>
      <c r="CS294" s="13"/>
      <c r="CT294" s="13"/>
      <c r="CV294" s="157"/>
      <c r="CW294" s="10"/>
      <c r="CY294" s="13"/>
      <c r="CZ294" s="13"/>
      <c r="DA294" s="13"/>
      <c r="DD294" s="10"/>
      <c r="DF294" s="13"/>
      <c r="DG294" s="13"/>
      <c r="DH294" s="13"/>
      <c r="DK294" s="10"/>
      <c r="DM294" s="13"/>
      <c r="DN294" s="13"/>
      <c r="DO294" s="13"/>
      <c r="DR294" s="10"/>
      <c r="DT294" s="13"/>
      <c r="DU294" s="13"/>
      <c r="DV294" s="13"/>
      <c r="DY294" s="10"/>
      <c r="EA294" s="13"/>
      <c r="EB294" s="13"/>
      <c r="EC294" s="13"/>
      <c r="EF294" s="10"/>
      <c r="EH294" s="13"/>
      <c r="EI294" s="13"/>
      <c r="EJ294" s="13"/>
    </row>
    <row r="295" spans="2:143" x14ac:dyDescent="0.25">
      <c r="C295" s="10"/>
      <c r="E295" s="13"/>
      <c r="F295" s="13"/>
      <c r="G295" s="13"/>
      <c r="J295" s="10"/>
      <c r="L295" s="13"/>
      <c r="M295" s="13"/>
      <c r="N295" s="13"/>
      <c r="Q295" s="10"/>
      <c r="S295" s="13"/>
      <c r="T295" s="13"/>
      <c r="U295" s="13"/>
      <c r="X295" s="10"/>
      <c r="AE295" s="10"/>
      <c r="AL295" s="10"/>
      <c r="AS295" s="10"/>
      <c r="AY295" s="157"/>
      <c r="AZ295" s="10"/>
      <c r="BB295" s="13"/>
      <c r="BC295" s="13"/>
      <c r="BD295" s="13"/>
      <c r="BG295" s="10"/>
      <c r="BI295" s="13"/>
      <c r="BJ295" s="13"/>
      <c r="BK295" s="13"/>
      <c r="BN295" s="10"/>
      <c r="BP295" s="13"/>
      <c r="BQ295" s="13"/>
      <c r="BR295" s="13"/>
      <c r="BU295" s="10"/>
      <c r="BW295" s="13"/>
      <c r="BX295" s="13"/>
      <c r="BY295" s="13"/>
      <c r="CB295" s="10"/>
      <c r="CD295" s="13"/>
      <c r="CE295" s="13"/>
      <c r="CF295" s="13"/>
      <c r="CI295" s="10"/>
      <c r="CK295" s="13"/>
      <c r="CL295" s="13"/>
      <c r="CM295" s="13"/>
      <c r="CP295" s="10"/>
      <c r="CR295" s="13"/>
      <c r="CS295" s="13"/>
      <c r="CT295" s="13"/>
      <c r="CV295" s="157"/>
      <c r="CW295" s="10"/>
      <c r="CY295" s="13"/>
      <c r="CZ295" s="13"/>
      <c r="DA295" s="13"/>
      <c r="DD295" s="10"/>
      <c r="DF295" s="13"/>
      <c r="DG295" s="13"/>
      <c r="DH295" s="13"/>
      <c r="DK295" s="10"/>
      <c r="DM295" s="13"/>
      <c r="DN295" s="13"/>
      <c r="DO295" s="13"/>
      <c r="DR295" s="10"/>
      <c r="DT295" s="13"/>
      <c r="DU295" s="13"/>
      <c r="DV295" s="13"/>
      <c r="DY295" s="10"/>
      <c r="EA295" s="13"/>
      <c r="EB295" s="13"/>
      <c r="EC295" s="13"/>
      <c r="EF295" s="10"/>
      <c r="EH295" s="13"/>
      <c r="EI295" s="13"/>
      <c r="EJ295" s="13"/>
    </row>
    <row r="296" spans="2:143" x14ac:dyDescent="0.25">
      <c r="AY296" s="157"/>
      <c r="BT296" s="4"/>
      <c r="CV296" s="157"/>
    </row>
    <row r="297" spans="2:143" x14ac:dyDescent="0.25">
      <c r="B297" s="1" t="s">
        <v>117</v>
      </c>
      <c r="I297" s="1" t="s">
        <v>117</v>
      </c>
      <c r="P297" s="1" t="s">
        <v>117</v>
      </c>
      <c r="W297" s="1" t="s">
        <v>117</v>
      </c>
      <c r="AD297" s="1" t="s">
        <v>117</v>
      </c>
      <c r="AK297" s="1" t="s">
        <v>117</v>
      </c>
      <c r="AR297" s="1" t="s">
        <v>117</v>
      </c>
      <c r="AY297" s="160" t="s">
        <v>117</v>
      </c>
      <c r="BF297" s="1" t="s">
        <v>117</v>
      </c>
      <c r="BM297" s="1" t="s">
        <v>117</v>
      </c>
      <c r="BT297" s="1" t="s">
        <v>117</v>
      </c>
      <c r="CA297" s="1"/>
      <c r="CH297" s="1"/>
      <c r="CO297" s="1"/>
      <c r="CV297" s="160"/>
      <c r="DC297" s="1"/>
      <c r="DJ297" s="1"/>
      <c r="DQ297" s="1"/>
      <c r="DX297" s="1"/>
      <c r="EE297" s="1"/>
    </row>
    <row r="298" spans="2:143" x14ac:dyDescent="0.25">
      <c r="B298" s="1"/>
      <c r="AY298" s="160"/>
      <c r="BF298" s="1"/>
      <c r="BM298" s="1"/>
      <c r="BT298" s="1"/>
      <c r="CA298" s="1"/>
      <c r="CH298" s="1"/>
      <c r="CO298" s="1"/>
      <c r="CV298" s="160"/>
      <c r="DC298" s="1"/>
      <c r="DJ298" s="1"/>
      <c r="DQ298" s="1"/>
      <c r="DX298" s="1"/>
      <c r="EE298" s="1"/>
    </row>
    <row r="299" spans="2:143" x14ac:dyDescent="0.25">
      <c r="B299" s="1" t="s">
        <v>217</v>
      </c>
      <c r="I299" s="1" t="s">
        <v>217</v>
      </c>
      <c r="P299" s="1" t="s">
        <v>217</v>
      </c>
      <c r="W299" s="1" t="s">
        <v>217</v>
      </c>
      <c r="AD299" s="1" t="s">
        <v>217</v>
      </c>
      <c r="AK299" s="1" t="s">
        <v>217</v>
      </c>
      <c r="AR299" s="1" t="s">
        <v>217</v>
      </c>
      <c r="AY299" s="160" t="s">
        <v>217</v>
      </c>
      <c r="BF299" s="1" t="s">
        <v>217</v>
      </c>
      <c r="BM299" s="1" t="s">
        <v>217</v>
      </c>
      <c r="BT299" s="1" t="s">
        <v>217</v>
      </c>
      <c r="CA299" s="1"/>
      <c r="CH299" s="1"/>
      <c r="CO299" s="1"/>
      <c r="CV299" s="160"/>
      <c r="DC299" s="1"/>
      <c r="DJ299" s="1"/>
      <c r="DQ299" s="1"/>
      <c r="DX299" s="1"/>
      <c r="EE299" s="1"/>
    </row>
    <row r="300" spans="2:143" x14ac:dyDescent="0.25">
      <c r="B300" t="s">
        <v>219</v>
      </c>
      <c r="C300" s="10">
        <f ca="1">(C251-$C$14)/(C251-C252)*($C$402/$C$67)</f>
        <v>0.564628093052014</v>
      </c>
      <c r="I300" t="s">
        <v>219</v>
      </c>
      <c r="J300" s="10">
        <f ca="1">(J251-$C$14)/(J251-J252)*($C$402/$C$67)</f>
        <v>0.47443330023818509</v>
      </c>
      <c r="P300" t="s">
        <v>219</v>
      </c>
      <c r="Q300" s="10">
        <f ca="1">(Q251-$C$14)/(Q251-Q252)*($C$402/$C$67)</f>
        <v>0.36930560440115118</v>
      </c>
      <c r="W300" t="s">
        <v>219</v>
      </c>
      <c r="X300" s="10">
        <f ca="1">(X251-$C$14)/(X251-X252)*($C$402/$C$67)</f>
        <v>0.27177501414107041</v>
      </c>
      <c r="AD300" t="s">
        <v>219</v>
      </c>
      <c r="AE300" s="10">
        <f ca="1">(AE251-$C$14)/(AE251-AE252)*($C$402/$C$67)</f>
        <v>0.12591993576080113</v>
      </c>
      <c r="AK300" t="s">
        <v>219</v>
      </c>
      <c r="AL300" s="10">
        <f ca="1">(AL251-$C$14)/(AL251-AL252)*($C$402/$C$67)</f>
        <v>8.8311945837228345E-3</v>
      </c>
      <c r="AR300" t="s">
        <v>219</v>
      </c>
      <c r="AS300" s="10">
        <f ca="1">(AS251-$C$14)/(AS251-AS252)*($C$402/$C$67)</f>
        <v>-0.1963988307671391</v>
      </c>
      <c r="AY300" t="s">
        <v>219</v>
      </c>
      <c r="AZ300" s="10">
        <f ca="1">(AZ251-$C$14)/(AZ251-AZ252)*($C$402/$C$67)</f>
        <v>-0.47804526663047553</v>
      </c>
      <c r="BF300" t="s">
        <v>219</v>
      </c>
      <c r="BG300" s="10">
        <f ca="1">(BG251-$C$14)/(BG251-BG252)*($C$402/$C$67)</f>
        <v>-0.70673908863680057</v>
      </c>
      <c r="BM300" t="s">
        <v>219</v>
      </c>
      <c r="BN300" s="10">
        <f ca="1">(BN251-$C$14)/(BN251-BN252)*($C$402/$C$67)</f>
        <v>-0.97070626003210259</v>
      </c>
      <c r="BT300" t="s">
        <v>219</v>
      </c>
      <c r="BU300" s="10">
        <f ca="1">(BU251-$C$14)/(BU251-BU252)*($C$402/$C$67)</f>
        <v>-1.3289302022178735</v>
      </c>
      <c r="CB300" s="10"/>
      <c r="CI300" s="10"/>
      <c r="CP300" s="10"/>
      <c r="CW300" s="10"/>
      <c r="DD300" s="10"/>
      <c r="DK300" s="10"/>
      <c r="DR300" s="10"/>
      <c r="DY300" s="10"/>
      <c r="EF300" s="10"/>
    </row>
    <row r="301" spans="2:143" x14ac:dyDescent="0.25">
      <c r="B301" t="s">
        <v>220</v>
      </c>
      <c r="C301" s="10">
        <f ca="1">$C$402-C300</f>
        <v>2.3353719069479859</v>
      </c>
      <c r="D301" s="10"/>
      <c r="I301" t="s">
        <v>220</v>
      </c>
      <c r="J301" s="10">
        <f ca="1">$C$402-J300</f>
        <v>2.4255666997618146</v>
      </c>
      <c r="K301" s="10"/>
      <c r="P301" t="s">
        <v>220</v>
      </c>
      <c r="Q301" s="10">
        <f ca="1">$C$402-Q300</f>
        <v>2.5306943955988488</v>
      </c>
      <c r="R301" s="10"/>
      <c r="W301" t="s">
        <v>220</v>
      </c>
      <c r="X301" s="10">
        <f ca="1">$C$402-X300</f>
        <v>2.6282249858589295</v>
      </c>
      <c r="Y301" s="10"/>
      <c r="AD301" t="s">
        <v>220</v>
      </c>
      <c r="AE301" s="10">
        <f ca="1">$C$402-AE300</f>
        <v>2.774080064239199</v>
      </c>
      <c r="AF301" s="10"/>
      <c r="AK301" t="s">
        <v>220</v>
      </c>
      <c r="AL301" s="10">
        <f ca="1">$C$402-AL300</f>
        <v>2.8911688054162772</v>
      </c>
      <c r="AM301" s="10"/>
      <c r="AR301" t="s">
        <v>220</v>
      </c>
      <c r="AS301" s="10">
        <f ca="1">$C$402-AS300</f>
        <v>3.0963988307671388</v>
      </c>
      <c r="AT301" s="10"/>
      <c r="AY301" t="s">
        <v>220</v>
      </c>
      <c r="AZ301" s="10">
        <f ca="1">$C$402-AZ300</f>
        <v>3.3780452666304752</v>
      </c>
      <c r="BA301" s="10"/>
      <c r="BF301" t="s">
        <v>220</v>
      </c>
      <c r="BG301" s="10">
        <f ca="1">$C$402-BG300</f>
        <v>3.6067390886368003</v>
      </c>
      <c r="BH301" s="10"/>
      <c r="BM301" t="s">
        <v>220</v>
      </c>
      <c r="BN301" s="10">
        <f ca="1">$C$402-BN300</f>
        <v>3.8707062600321027</v>
      </c>
      <c r="BO301" s="10"/>
      <c r="BT301" t="s">
        <v>220</v>
      </c>
      <c r="BU301" s="10">
        <f ca="1">$C$402-BU300</f>
        <v>4.2289302022178736</v>
      </c>
      <c r="BV301" s="10"/>
      <c r="CB301" s="10"/>
      <c r="CC301" s="10"/>
      <c r="CI301" s="10"/>
      <c r="CJ301" s="10"/>
      <c r="CP301" s="10"/>
      <c r="CQ301" s="10"/>
      <c r="CW301" s="10"/>
      <c r="CX301" s="10"/>
      <c r="DD301" s="10"/>
      <c r="DE301" s="10"/>
      <c r="DK301" s="10"/>
      <c r="DL301" s="10"/>
      <c r="DR301" s="10"/>
      <c r="DS301" s="10"/>
      <c r="DY301" s="10"/>
      <c r="DZ301" s="10"/>
      <c r="EF301" s="10"/>
      <c r="EG301" s="10"/>
    </row>
    <row r="302" spans="2:143" x14ac:dyDescent="0.25">
      <c r="B302" t="s">
        <v>218</v>
      </c>
      <c r="C302" s="10">
        <f ca="1">C301*$C$38*$C$50^2</f>
        <v>28.024462883375833</v>
      </c>
      <c r="I302" t="s">
        <v>218</v>
      </c>
      <c r="J302" s="10">
        <f ca="1">J301*$C$38*$C$50^2</f>
        <v>29.106800397141775</v>
      </c>
      <c r="P302" t="s">
        <v>218</v>
      </c>
      <c r="Q302" s="10">
        <f ca="1">Q301*$C$38*$C$50^2</f>
        <v>30.368332747186187</v>
      </c>
      <c r="W302" t="s">
        <v>218</v>
      </c>
      <c r="X302" s="10">
        <f ca="1">X301*$C$38*$C$50^2</f>
        <v>31.538699830307152</v>
      </c>
      <c r="AD302" t="s">
        <v>218</v>
      </c>
      <c r="AE302" s="10">
        <f ca="1">AE301*$C$38*$C$50^2</f>
        <v>33.288960770870389</v>
      </c>
      <c r="AK302" t="s">
        <v>218</v>
      </c>
      <c r="AL302" s="10">
        <f ca="1">AL301*$C$38*$C$50^2</f>
        <v>34.694025664995323</v>
      </c>
      <c r="AR302" t="s">
        <v>218</v>
      </c>
      <c r="AS302" s="10">
        <f ca="1">AS301*$C$38*$C$50^2</f>
        <v>37.156785969205664</v>
      </c>
      <c r="AY302" t="s">
        <v>218</v>
      </c>
      <c r="AZ302" s="10">
        <f ca="1">AZ301*$C$38*$C$50^2</f>
        <v>40.536543199565699</v>
      </c>
      <c r="BF302" t="s">
        <v>218</v>
      </c>
      <c r="BG302" s="10">
        <f ca="1">BG301*$C$38*$C$50^2</f>
        <v>43.280869063641603</v>
      </c>
      <c r="BM302" t="s">
        <v>218</v>
      </c>
      <c r="BN302" s="10">
        <f ca="1">BN301*$C$38*$C$50^2</f>
        <v>46.448475120385233</v>
      </c>
      <c r="BT302" t="s">
        <v>218</v>
      </c>
      <c r="BU302" s="10">
        <f ca="1">BU301*$C$38*$C$50^2</f>
        <v>50.74716242661448</v>
      </c>
      <c r="CB302" s="10"/>
      <c r="CI302" s="10"/>
      <c r="CP302" s="10"/>
      <c r="CW302" s="10"/>
      <c r="DD302" s="10"/>
      <c r="DK302" s="10"/>
      <c r="DR302" s="10"/>
      <c r="DY302" s="10"/>
      <c r="EF302" s="10"/>
    </row>
    <row r="303" spans="2:143" x14ac:dyDescent="0.25">
      <c r="B303" s="1">
        <v>2.7</v>
      </c>
      <c r="C303" s="77">
        <v>2.4549999999999999E-2</v>
      </c>
      <c r="D303" s="77">
        <v>0.4405</v>
      </c>
      <c r="E303" s="61">
        <f ca="1">C303*C302^D303</f>
        <v>0.10658391685068409</v>
      </c>
      <c r="I303" s="1">
        <v>2.7</v>
      </c>
      <c r="J303" s="77">
        <v>2.46E-2</v>
      </c>
      <c r="K303" s="77">
        <v>0.441</v>
      </c>
      <c r="L303" s="61">
        <f ca="1">J303*J302^K303</f>
        <v>0.10878190685187508</v>
      </c>
      <c r="P303" s="1">
        <v>2.7</v>
      </c>
      <c r="Q303" s="77">
        <v>2.46E-2</v>
      </c>
      <c r="R303" s="77">
        <v>0.441</v>
      </c>
      <c r="S303" s="61">
        <f ca="1">Q303*Q302^R303</f>
        <v>0.11083648535450051</v>
      </c>
      <c r="W303" s="1">
        <v>2.7</v>
      </c>
      <c r="X303" s="77">
        <v>2.46E-2</v>
      </c>
      <c r="Y303" s="77">
        <v>0.441</v>
      </c>
      <c r="Z303" s="61">
        <f ca="1">X303*X302^Y303</f>
        <v>0.11270033750137823</v>
      </c>
      <c r="AD303" s="1">
        <v>2.7</v>
      </c>
      <c r="AE303" s="77">
        <v>2.46E-2</v>
      </c>
      <c r="AF303" s="77">
        <v>0.441</v>
      </c>
      <c r="AG303" s="61">
        <f ca="1">AE303*AE302^AF303</f>
        <v>0.11541692828670848</v>
      </c>
      <c r="AK303" s="1">
        <v>2.7</v>
      </c>
      <c r="AL303" s="77">
        <v>2.46E-2</v>
      </c>
      <c r="AM303" s="77">
        <v>0.441</v>
      </c>
      <c r="AN303" s="61">
        <f ca="1">AL303*AL302^AM303</f>
        <v>0.11754047130524618</v>
      </c>
      <c r="AR303" s="1">
        <v>2.7</v>
      </c>
      <c r="AS303" s="77">
        <v>2.46E-2</v>
      </c>
      <c r="AT303" s="77">
        <v>0.441</v>
      </c>
      <c r="AU303" s="61">
        <f ca="1">AS303*AS302^AT303</f>
        <v>0.12114958400138366</v>
      </c>
      <c r="AY303" s="160">
        <v>2.7</v>
      </c>
      <c r="AZ303" s="77">
        <v>2.4549999999999999E-2</v>
      </c>
      <c r="BA303" s="77">
        <v>0.4405</v>
      </c>
      <c r="BB303" s="61">
        <f ca="1">AZ303*AZ302^BA303</f>
        <v>0.12540301341315027</v>
      </c>
      <c r="BF303" s="1">
        <v>2.7</v>
      </c>
      <c r="BG303" s="77">
        <v>2.4549999999999999E-2</v>
      </c>
      <c r="BH303" s="77">
        <v>0.4405</v>
      </c>
      <c r="BI303" s="61">
        <f ca="1">BG303*BG302^BH303</f>
        <v>0.12907432792793924</v>
      </c>
      <c r="BM303" s="1">
        <v>2.7</v>
      </c>
      <c r="BN303" s="77">
        <v>2.4549999999999999E-2</v>
      </c>
      <c r="BO303" s="77">
        <v>0.4405</v>
      </c>
      <c r="BP303" s="61">
        <f ca="1">BN303*BN302^BO303</f>
        <v>0.13315345046396262</v>
      </c>
      <c r="BT303" s="1">
        <v>2.7</v>
      </c>
      <c r="BU303" s="77">
        <v>2.4549999999999999E-2</v>
      </c>
      <c r="BV303" s="77">
        <v>0.4405</v>
      </c>
      <c r="BW303" s="61">
        <f ca="1">BU303*BU302^BV303</f>
        <v>0.13844758296815834</v>
      </c>
      <c r="CA303" s="1"/>
      <c r="CB303" s="77"/>
      <c r="CC303" s="77"/>
      <c r="CD303" s="61"/>
      <c r="CH303" s="1"/>
      <c r="CI303" s="77"/>
      <c r="CJ303" s="77"/>
      <c r="CK303" s="61"/>
      <c r="CO303" s="1"/>
      <c r="CP303" s="77"/>
      <c r="CQ303" s="77"/>
      <c r="CR303" s="61"/>
      <c r="CV303" s="160"/>
      <c r="CW303" s="77"/>
      <c r="CX303" s="77"/>
      <c r="CY303" s="61"/>
      <c r="DC303" s="1"/>
      <c r="DD303" s="77"/>
      <c r="DE303" s="77"/>
      <c r="DF303" s="61"/>
      <c r="DJ303" s="1"/>
      <c r="DK303" s="77"/>
      <c r="DL303" s="77"/>
      <c r="DM303" s="61"/>
      <c r="DQ303" s="1"/>
      <c r="DR303" s="77"/>
      <c r="DS303" s="77"/>
      <c r="DT303" s="61"/>
      <c r="DX303" s="1"/>
      <c r="DY303" s="77"/>
      <c r="DZ303" s="77"/>
      <c r="EA303" s="61"/>
      <c r="EE303" s="1"/>
      <c r="EF303" s="77"/>
      <c r="EG303" s="77"/>
      <c r="EH303" s="61"/>
    </row>
    <row r="304" spans="2:143" x14ac:dyDescent="0.25">
      <c r="B304" s="1">
        <v>4</v>
      </c>
      <c r="C304" s="77">
        <v>2.5100000000000001E-2</v>
      </c>
      <c r="D304" s="77">
        <v>0.44579999999999997</v>
      </c>
      <c r="E304" s="61">
        <f ca="1">C304*C302^D304</f>
        <v>0.11091386740656338</v>
      </c>
      <c r="I304" s="1">
        <v>4</v>
      </c>
      <c r="J304" s="77">
        <v>2.5100000000000001E-2</v>
      </c>
      <c r="K304" s="77">
        <v>0.44600000000000001</v>
      </c>
      <c r="L304" s="61">
        <f ca="1">J304*J302^K304</f>
        <v>0.11287954601086664</v>
      </c>
      <c r="P304" s="1">
        <v>4</v>
      </c>
      <c r="Q304" s="77">
        <v>2.5100000000000001E-2</v>
      </c>
      <c r="R304" s="77">
        <v>0.44600000000000001</v>
      </c>
      <c r="S304" s="61">
        <f ca="1">Q304*Q302^R304</f>
        <v>0.11503591861845429</v>
      </c>
      <c r="W304" s="1">
        <v>4</v>
      </c>
      <c r="X304" s="77">
        <v>2.5100000000000001E-2</v>
      </c>
      <c r="Y304" s="77">
        <v>0.44600000000000001</v>
      </c>
      <c r="Z304" s="61">
        <f ca="1">X304*X302^Y304</f>
        <v>0.11699250766757741</v>
      </c>
      <c r="AD304" s="1">
        <v>4</v>
      </c>
      <c r="AE304" s="77">
        <v>2.5100000000000001E-2</v>
      </c>
      <c r="AF304" s="77">
        <v>0.44600000000000001</v>
      </c>
      <c r="AG304" s="61">
        <f ca="1">AE304*AE302^AF304</f>
        <v>0.1198449193140929</v>
      </c>
      <c r="AK304" s="1">
        <v>4</v>
      </c>
      <c r="AL304" s="77">
        <v>2.5100000000000001E-2</v>
      </c>
      <c r="AM304" s="77">
        <v>0.44600000000000001</v>
      </c>
      <c r="AN304" s="61">
        <f ca="1">AL304*AL302^AM304</f>
        <v>0.12207516378533968</v>
      </c>
      <c r="AR304" s="1">
        <v>4</v>
      </c>
      <c r="AS304" s="77">
        <v>2.5100000000000001E-2</v>
      </c>
      <c r="AT304" s="77">
        <v>0.44600000000000001</v>
      </c>
      <c r="AU304" s="61">
        <f ca="1">AS304*AS302^AT304</f>
        <v>0.12586666706907165</v>
      </c>
      <c r="AY304" s="160">
        <v>4</v>
      </c>
      <c r="AZ304" s="77">
        <v>2.5100000000000001E-2</v>
      </c>
      <c r="BA304" s="77">
        <v>0.44579999999999997</v>
      </c>
      <c r="BB304" s="61">
        <f ca="1">AZ304*AZ302^BA304</f>
        <v>0.13075303706662531</v>
      </c>
      <c r="BF304" s="1">
        <v>4</v>
      </c>
      <c r="BG304" s="77">
        <v>2.5100000000000001E-2</v>
      </c>
      <c r="BH304" s="77">
        <v>0.44579999999999997</v>
      </c>
      <c r="BI304" s="61">
        <f ca="1">BG304*BG302^BH304</f>
        <v>0.13462771233405846</v>
      </c>
      <c r="BM304" s="1">
        <v>4</v>
      </c>
      <c r="BN304" s="77">
        <v>2.5100000000000001E-2</v>
      </c>
      <c r="BO304" s="77">
        <v>0.44579999999999997</v>
      </c>
      <c r="BP304" s="61">
        <f ca="1">BN304*BN302^BO304</f>
        <v>0.13893433885785972</v>
      </c>
      <c r="BT304" s="1">
        <v>4</v>
      </c>
      <c r="BU304" s="77">
        <v>2.5100000000000001E-2</v>
      </c>
      <c r="BV304" s="77">
        <v>0.44579999999999997</v>
      </c>
      <c r="BW304" s="61">
        <f ca="1">BU304*BU302^BV304</f>
        <v>0.14452610068149363</v>
      </c>
      <c r="CA304" s="1"/>
      <c r="CB304" s="77"/>
      <c r="CC304" s="77"/>
      <c r="CD304" s="61"/>
      <c r="CH304" s="1"/>
      <c r="CI304" s="77"/>
      <c r="CJ304" s="77"/>
      <c r="CK304" s="61"/>
      <c r="CO304" s="1"/>
      <c r="CP304" s="77"/>
      <c r="CQ304" s="77"/>
      <c r="CR304" s="61"/>
      <c r="CV304" s="160"/>
      <c r="CW304" s="77"/>
      <c r="CX304" s="77"/>
      <c r="CY304" s="61"/>
      <c r="DC304" s="1"/>
      <c r="DD304" s="77"/>
      <c r="DE304" s="77"/>
      <c r="DF304" s="61"/>
      <c r="DJ304" s="1"/>
      <c r="DK304" s="77"/>
      <c r="DL304" s="77"/>
      <c r="DM304" s="61"/>
      <c r="DQ304" s="1"/>
      <c r="DR304" s="77"/>
      <c r="DS304" s="77"/>
      <c r="DT304" s="61"/>
      <c r="DX304" s="1"/>
      <c r="DY304" s="77"/>
      <c r="DZ304" s="77"/>
      <c r="EA304" s="61"/>
      <c r="EE304" s="1"/>
      <c r="EF304" s="77"/>
      <c r="EG304" s="77"/>
      <c r="EH304" s="61"/>
    </row>
    <row r="305" spans="1:141" x14ac:dyDescent="0.25">
      <c r="B305" s="1">
        <v>10</v>
      </c>
      <c r="C305" s="77">
        <v>2.7969999999999998E-2</v>
      </c>
      <c r="D305" s="77">
        <v>0.43909999999999999</v>
      </c>
      <c r="E305" s="61">
        <f ca="1">C305*C302^D305</f>
        <v>0.12086654107713467</v>
      </c>
      <c r="I305" s="1">
        <v>10</v>
      </c>
      <c r="J305" s="77">
        <v>2.8000000000000001E-2</v>
      </c>
      <c r="K305" s="77">
        <v>0.439</v>
      </c>
      <c r="L305" s="61">
        <f ca="1">J305*J302^K305</f>
        <v>0.12298484628375465</v>
      </c>
      <c r="P305" s="1">
        <v>10</v>
      </c>
      <c r="Q305" s="77">
        <v>2.8000000000000001E-2</v>
      </c>
      <c r="R305" s="77">
        <v>0.439</v>
      </c>
      <c r="S305" s="61">
        <f ca="1">Q305*Q302^R305</f>
        <v>0.12529704482030765</v>
      </c>
      <c r="W305" s="1">
        <v>10</v>
      </c>
      <c r="X305" s="77">
        <v>2.8000000000000001E-2</v>
      </c>
      <c r="Y305" s="77">
        <v>0.439</v>
      </c>
      <c r="Z305" s="61">
        <f ca="1">X305*X302^Y305</f>
        <v>0.12739443390256855</v>
      </c>
      <c r="AD305" s="1">
        <v>10</v>
      </c>
      <c r="AE305" s="77">
        <v>2.8000000000000001E-2</v>
      </c>
      <c r="AF305" s="77">
        <v>0.439</v>
      </c>
      <c r="AG305" s="61">
        <f ca="1">AE305*AE302^AF305</f>
        <v>0.13045112703570239</v>
      </c>
      <c r="AK305" s="1">
        <v>10</v>
      </c>
      <c r="AL305" s="77">
        <v>2.8000000000000001E-2</v>
      </c>
      <c r="AM305" s="77">
        <v>0.439</v>
      </c>
      <c r="AN305" s="61">
        <f ca="1">AL305*AL302^AM305</f>
        <v>0.13284029844480069</v>
      </c>
      <c r="AR305" s="1">
        <v>10</v>
      </c>
      <c r="AS305" s="77">
        <v>2.8000000000000001E-2</v>
      </c>
      <c r="AT305" s="77">
        <v>0.439</v>
      </c>
      <c r="AU305" s="61">
        <f ca="1">AS305*AS302^AT305</f>
        <v>0.13690041831415328</v>
      </c>
      <c r="AY305" s="160">
        <v>10</v>
      </c>
      <c r="AZ305" s="77">
        <v>2.7969999999999998E-2</v>
      </c>
      <c r="BA305" s="77">
        <v>0.43909999999999999</v>
      </c>
      <c r="BB305" s="61">
        <f ca="1">AZ305*AZ302^BA305</f>
        <v>0.14213399307400582</v>
      </c>
      <c r="BF305" s="1">
        <v>10</v>
      </c>
      <c r="BG305" s="77">
        <v>2.7969999999999998E-2</v>
      </c>
      <c r="BH305" s="77">
        <v>0.43909999999999999</v>
      </c>
      <c r="BI305" s="61">
        <f ca="1">BG305*BG302^BH305</f>
        <v>0.14628170981993613</v>
      </c>
      <c r="BM305" s="1">
        <v>10</v>
      </c>
      <c r="BN305" s="77">
        <v>2.7969999999999998E-2</v>
      </c>
      <c r="BO305" s="77">
        <v>0.43909999999999999</v>
      </c>
      <c r="BP305" s="61">
        <f ca="1">BN305*BN302^BO305</f>
        <v>0.15088971382120225</v>
      </c>
      <c r="BT305" s="1">
        <v>10</v>
      </c>
      <c r="BU305" s="77">
        <v>2.7969999999999998E-2</v>
      </c>
      <c r="BV305" s="77">
        <v>0.43909999999999999</v>
      </c>
      <c r="BW305" s="61">
        <f ca="1">BU305*BU302^BV305</f>
        <v>0.15686959367410483</v>
      </c>
      <c r="CA305" s="1"/>
      <c r="CB305" s="77"/>
      <c r="CC305" s="77"/>
      <c r="CD305" s="61"/>
      <c r="CH305" s="1"/>
      <c r="CI305" s="77"/>
      <c r="CJ305" s="77"/>
      <c r="CK305" s="61"/>
      <c r="CO305" s="1"/>
      <c r="CP305" s="77"/>
      <c r="CQ305" s="77"/>
      <c r="CR305" s="61"/>
      <c r="CV305" s="160"/>
      <c r="CW305" s="77"/>
      <c r="CX305" s="77"/>
      <c r="CY305" s="61"/>
      <c r="DC305" s="1"/>
      <c r="DD305" s="77"/>
      <c r="DE305" s="77"/>
      <c r="DF305" s="61"/>
      <c r="DJ305" s="1"/>
      <c r="DK305" s="77"/>
      <c r="DL305" s="77"/>
      <c r="DM305" s="61"/>
      <c r="DQ305" s="1"/>
      <c r="DR305" s="77"/>
      <c r="DS305" s="77"/>
      <c r="DT305" s="61"/>
      <c r="DX305" s="1"/>
      <c r="DY305" s="77"/>
      <c r="DZ305" s="77"/>
      <c r="EA305" s="61"/>
      <c r="EE305" s="1"/>
      <c r="EF305" s="77"/>
      <c r="EG305" s="77"/>
      <c r="EH305" s="61"/>
    </row>
    <row r="306" spans="1:141" x14ac:dyDescent="0.25">
      <c r="B306" s="1" t="s">
        <v>123</v>
      </c>
      <c r="C306" t="s">
        <v>168</v>
      </c>
      <c r="D306" t="s">
        <v>169</v>
      </c>
      <c r="E306" s="129"/>
      <c r="I306" s="1" t="s">
        <v>123</v>
      </c>
      <c r="J306" t="s">
        <v>168</v>
      </c>
      <c r="K306" t="s">
        <v>169</v>
      </c>
      <c r="L306" s="129"/>
      <c r="P306" s="1" t="s">
        <v>123</v>
      </c>
      <c r="Q306" t="s">
        <v>168</v>
      </c>
      <c r="R306" t="s">
        <v>169</v>
      </c>
      <c r="S306" s="129"/>
      <c r="W306" s="1" t="s">
        <v>123</v>
      </c>
      <c r="X306" t="s">
        <v>168</v>
      </c>
      <c r="Y306" t="s">
        <v>169</v>
      </c>
      <c r="Z306" s="129"/>
      <c r="AD306" s="1" t="s">
        <v>123</v>
      </c>
      <c r="AE306" t="s">
        <v>168</v>
      </c>
      <c r="AF306" t="s">
        <v>169</v>
      </c>
      <c r="AG306" s="129"/>
      <c r="AK306" s="1" t="s">
        <v>123</v>
      </c>
      <c r="AL306" t="s">
        <v>168</v>
      </c>
      <c r="AM306" t="s">
        <v>169</v>
      </c>
      <c r="AN306" s="129"/>
      <c r="AR306" s="1" t="s">
        <v>123</v>
      </c>
      <c r="AS306" t="s">
        <v>168</v>
      </c>
      <c r="AT306" t="s">
        <v>169</v>
      </c>
      <c r="AU306" s="129"/>
      <c r="AY306" s="160" t="s">
        <v>123</v>
      </c>
      <c r="AZ306" t="s">
        <v>168</v>
      </c>
      <c r="BA306" t="s">
        <v>169</v>
      </c>
      <c r="BB306" s="129"/>
      <c r="BF306" s="1" t="s">
        <v>123</v>
      </c>
      <c r="BG306" t="s">
        <v>168</v>
      </c>
      <c r="BH306" t="s">
        <v>169</v>
      </c>
      <c r="BI306" s="129"/>
      <c r="BM306" s="1" t="s">
        <v>123</v>
      </c>
      <c r="BN306" t="s">
        <v>168</v>
      </c>
      <c r="BO306" t="s">
        <v>169</v>
      </c>
      <c r="BP306" s="129"/>
      <c r="BT306" s="1" t="s">
        <v>123</v>
      </c>
      <c r="BU306" t="s">
        <v>168</v>
      </c>
      <c r="BV306" t="s">
        <v>169</v>
      </c>
      <c r="BW306" s="129"/>
      <c r="CA306" s="1"/>
      <c r="CD306" s="129"/>
      <c r="CH306" s="1"/>
      <c r="CK306" s="129"/>
      <c r="CO306" s="1"/>
      <c r="CR306" s="129"/>
      <c r="CV306" s="160"/>
      <c r="CY306" s="129"/>
      <c r="DC306" s="1"/>
      <c r="DF306" s="129"/>
      <c r="DJ306" s="1"/>
      <c r="DM306" s="129"/>
      <c r="DQ306" s="1"/>
      <c r="DT306" s="129"/>
      <c r="DX306" s="1"/>
      <c r="EA306" s="129"/>
      <c r="EE306" s="1"/>
      <c r="EH306" s="129"/>
    </row>
    <row r="307" spans="1:141" x14ac:dyDescent="0.25">
      <c r="B307">
        <f>$C$39</f>
        <v>2.7</v>
      </c>
      <c r="C307">
        <f ca="1">EXP(INDEX(LINEST(LN(E303:E305),LN(B303:B305),,),1,2))</f>
        <v>9.7013623615417974E-2</v>
      </c>
      <c r="D307">
        <f ca="1">INDEX(LINEST(LN(E303:E305),LN(B303:B305),,),1)</f>
        <v>9.5644323345498522E-2</v>
      </c>
      <c r="E307" s="8">
        <f ca="1">MAX(C307*B307^D307, 0.05)</f>
        <v>0.10668177225885964</v>
      </c>
      <c r="F307" t="s">
        <v>120</v>
      </c>
      <c r="I307">
        <f>$C$39</f>
        <v>2.7</v>
      </c>
      <c r="J307">
        <f ca="1">EXP(INDEX(LINEST(LN(L303:L305),LN(I303:I305),,),1,2))</f>
        <v>9.9121008686169951E-2</v>
      </c>
      <c r="K307">
        <f ca="1">INDEX(LINEST(LN(L303:L305),LN(I303:I305),,),1)</f>
        <v>9.3697334278958613E-2</v>
      </c>
      <c r="L307" s="8">
        <f ca="1">MAX(J307*I307^K307, 0.05)</f>
        <v>0.1087885899437817</v>
      </c>
      <c r="M307" t="s">
        <v>120</v>
      </c>
      <c r="P307">
        <f>$C$39</f>
        <v>2.7</v>
      </c>
      <c r="Q307">
        <f ca="1">EXP(INDEX(LINEST(LN(S303:S305),LN(P303:P305),,),1,2))</f>
        <v>0.10101485884561359</v>
      </c>
      <c r="R307">
        <f ca="1">INDEX(LINEST(LN(S303:S305),LN(P303:P305),,),1)</f>
        <v>9.3586619285940295E-2</v>
      </c>
      <c r="S307" s="8">
        <f ca="1">MAX(Q307*P307^R307, 0.05)</f>
        <v>0.11085496206492679</v>
      </c>
      <c r="T307" t="s">
        <v>120</v>
      </c>
      <c r="W307">
        <f>$C$39</f>
        <v>2.7</v>
      </c>
      <c r="X307">
        <f ca="1">EXP(INDEX(LINEST(LN(Z303:Z305),LN(W303:W305),,),1,2))</f>
        <v>0.10273325262314364</v>
      </c>
      <c r="Y307">
        <f ca="1">INDEX(LINEST(LN(Z303:Z305),LN(W303:W305),,),1)</f>
        <v>9.3487943138831395E-2</v>
      </c>
      <c r="Z307" s="8">
        <f ca="1">MAX(X307*W307^Y307, 0.05)</f>
        <v>0.11272969955362443</v>
      </c>
      <c r="AA307" t="s">
        <v>120</v>
      </c>
      <c r="AD307">
        <f>$C$39</f>
        <v>2.7</v>
      </c>
      <c r="AE307">
        <f ca="1">EXP(INDEX(LINEST(LN(AG303:AG305),LN(AD303:AD305),,),1,2))</f>
        <v>0.10523841985900682</v>
      </c>
      <c r="AF307">
        <f ca="1">INDEX(LINEST(LN(AG303:AG305),LN(AD303:AD305),,),1)</f>
        <v>9.3347005713951756E-2</v>
      </c>
      <c r="AG307" s="8">
        <f ca="1">MAX(AE307*AD307^AF307, 0.05)</f>
        <v>0.1154624674890633</v>
      </c>
      <c r="AH307" t="s">
        <v>120</v>
      </c>
      <c r="AK307">
        <f>$C$39</f>
        <v>2.7</v>
      </c>
      <c r="AL307">
        <f ca="1">EXP(INDEX(LINEST(LN(AN303:AN305),LN(AK303:AK305),,),1,2))</f>
        <v>0.10719716753902174</v>
      </c>
      <c r="AM307">
        <f ca="1">INDEX(LINEST(LN(AN303:AN305),LN(AK303:AK305),,),1)</f>
        <v>9.3239126861564076E-2</v>
      </c>
      <c r="AN307" s="8">
        <f ca="1">MAX(AL307*AK307^AM307, 0.05)</f>
        <v>0.1175989085220288</v>
      </c>
      <c r="AO307" t="s">
        <v>120</v>
      </c>
      <c r="AR307">
        <f>$C$39</f>
        <v>2.7</v>
      </c>
      <c r="AS307">
        <f ca="1">EXP(INDEX(LINEST(LN(AU303:AU305),LN(AR303:AR305),,),1,2))</f>
        <v>0.11052712891561432</v>
      </c>
      <c r="AT307">
        <f ca="1">INDEX(LINEST(LN(AU303:AU305),LN(AR303:AR305),,),1)</f>
        <v>9.3060173873761601E-2</v>
      </c>
      <c r="AU307" s="8">
        <f ca="1">MAX(AS307*AR307^AT307, 0.05)</f>
        <v>0.12123043840627677</v>
      </c>
      <c r="AV307" t="s">
        <v>120</v>
      </c>
      <c r="AY307" s="157">
        <f>$C$39</f>
        <v>2.7</v>
      </c>
      <c r="AZ307">
        <f ca="1">EXP(INDEX(LINEST(LN(BB303:BB305),LN(AY303:AY305),,),1,2))</f>
        <v>0.1143408568774108</v>
      </c>
      <c r="BA307">
        <f ca="1">INDEX(LINEST(LN(BB303:BB305),LN(AY303:AY305),,),1)</f>
        <v>9.4841710664375065E-2</v>
      </c>
      <c r="BB307" s="8">
        <f ca="1">MAX(AZ307*AY307^BA307, 0.05)</f>
        <v>0.12563560048180517</v>
      </c>
      <c r="BC307" t="s">
        <v>120</v>
      </c>
      <c r="BF307">
        <f>$C$39</f>
        <v>2.7</v>
      </c>
      <c r="BG307">
        <f ca="1">EXP(INDEX(LINEST(LN(BI303:BI305),LN(BF303:BF305),,),1,2))</f>
        <v>0.11772450422979694</v>
      </c>
      <c r="BH307">
        <f ca="1">INDEX(LINEST(LN(BI303:BI305),LN(BF303:BF305),,),1)</f>
        <v>9.4699275246992301E-2</v>
      </c>
      <c r="BI307" s="8">
        <f ca="1">MAX(BG307*BF307^BH307, 0.05)</f>
        <v>0.12933519017895093</v>
      </c>
      <c r="BJ307" t="s">
        <v>120</v>
      </c>
      <c r="BM307">
        <f>$C$39</f>
        <v>2.7</v>
      </c>
      <c r="BN307">
        <f ca="1">EXP(INDEX(LINEST(LN(BP303:BP305),LN(BM303:BM305),,),1,2))</f>
        <v>0.12148520742608743</v>
      </c>
      <c r="BO307">
        <f ca="1">INDEX(LINEST(LN(BP303:BP305),LN(BM303:BM305),,),1)</f>
        <v>9.4545693898560615E-2</v>
      </c>
      <c r="BP307" s="8">
        <f ca="1">MAX(BN307*BM307^BO307, 0.05)</f>
        <v>0.13344643800463499</v>
      </c>
      <c r="BQ307" t="s">
        <v>120</v>
      </c>
      <c r="BT307">
        <f>$C$39</f>
        <v>2.7</v>
      </c>
      <c r="BU307">
        <f ca="1">EXP(INDEX(LINEST(LN(BW303:BW305),LN(BT303:BT305),,),1,2))</f>
        <v>0.12636790164794845</v>
      </c>
      <c r="BV307">
        <f ca="1">INDEX(LINEST(LN(BW303:BW305),LN(BT303:BT305),,),1)</f>
        <v>9.4353236864795034E-2</v>
      </c>
      <c r="BW307" s="8">
        <f ca="1">MAX(BU307*BT307^BV307, 0.05)</f>
        <v>0.13878334202071549</v>
      </c>
      <c r="CD307" s="8"/>
      <c r="CK307" s="8"/>
      <c r="CR307" s="8"/>
      <c r="CV307" s="157"/>
      <c r="CY307" s="8"/>
      <c r="DF307" s="8"/>
      <c r="DM307" s="8"/>
      <c r="DT307" s="8"/>
      <c r="EA307" s="8"/>
      <c r="EH307" s="8"/>
    </row>
    <row r="308" spans="1:141" x14ac:dyDescent="0.25">
      <c r="B308" s="1" t="s">
        <v>231</v>
      </c>
      <c r="C308" s="8">
        <f ca="1">E307</f>
        <v>0.10668177225885964</v>
      </c>
      <c r="E308" s="8"/>
      <c r="I308" s="1" t="s">
        <v>231</v>
      </c>
      <c r="J308" s="8">
        <f ca="1">L307</f>
        <v>0.1087885899437817</v>
      </c>
      <c r="L308" s="8"/>
      <c r="P308" s="1" t="s">
        <v>231</v>
      </c>
      <c r="Q308" s="8">
        <f ca="1">S307</f>
        <v>0.11085496206492679</v>
      </c>
      <c r="S308" s="8"/>
      <c r="W308" s="1" t="s">
        <v>231</v>
      </c>
      <c r="X308" s="8">
        <f ca="1">Z307</f>
        <v>0.11272969955362443</v>
      </c>
      <c r="Z308" s="8"/>
      <c r="AD308" s="1" t="s">
        <v>231</v>
      </c>
      <c r="AE308" s="8">
        <f ca="1">AG307</f>
        <v>0.1154624674890633</v>
      </c>
      <c r="AG308" s="8"/>
      <c r="AK308" s="1" t="s">
        <v>231</v>
      </c>
      <c r="AL308" s="8">
        <f ca="1">AN307</f>
        <v>0.1175989085220288</v>
      </c>
      <c r="AN308" s="8"/>
      <c r="AR308" s="1" t="s">
        <v>231</v>
      </c>
      <c r="AS308" s="8">
        <f ca="1">AU307</f>
        <v>0.12123043840627677</v>
      </c>
      <c r="AU308" s="8"/>
      <c r="AY308" s="160" t="s">
        <v>231</v>
      </c>
      <c r="AZ308" s="8">
        <f ca="1">BB307</f>
        <v>0.12563560048180517</v>
      </c>
      <c r="BB308" s="8"/>
      <c r="BF308" s="1" t="s">
        <v>231</v>
      </c>
      <c r="BG308" s="8">
        <f ca="1">BI307</f>
        <v>0.12933519017895093</v>
      </c>
      <c r="BI308" s="8"/>
      <c r="BM308" s="1" t="s">
        <v>231</v>
      </c>
      <c r="BN308" s="8">
        <f ca="1">BP307</f>
        <v>0.13344643800463499</v>
      </c>
      <c r="BP308" s="8"/>
      <c r="BT308" s="1" t="s">
        <v>231</v>
      </c>
      <c r="BU308" s="8">
        <f ca="1">BW307</f>
        <v>0.13878334202071549</v>
      </c>
      <c r="BW308" s="8"/>
      <c r="CA308" s="1"/>
      <c r="CB308" s="8"/>
      <c r="CD308" s="8"/>
      <c r="CH308" s="1"/>
      <c r="CI308" s="8"/>
      <c r="CK308" s="8"/>
      <c r="CO308" s="1"/>
      <c r="CP308" s="8"/>
      <c r="CR308" s="8"/>
      <c r="CV308" s="160"/>
      <c r="CW308" s="8"/>
      <c r="CY308" s="8"/>
      <c r="DC308" s="1"/>
      <c r="DD308" s="8"/>
      <c r="DF308" s="8"/>
      <c r="DJ308" s="1"/>
      <c r="DK308" s="8"/>
      <c r="DM308" s="8"/>
      <c r="DQ308" s="1"/>
      <c r="DR308" s="8"/>
      <c r="DT308" s="8"/>
      <c r="DX308" s="1"/>
      <c r="DY308" s="8"/>
      <c r="EA308" s="8"/>
      <c r="EE308" s="1"/>
      <c r="EF308" s="8"/>
      <c r="EH308" s="8"/>
    </row>
    <row r="309" spans="1:141" x14ac:dyDescent="0.25">
      <c r="B309" s="1" t="s">
        <v>121</v>
      </c>
      <c r="C309" s="58">
        <f ca="1">(34-$C$27)*(E307-0.05)^0.62*(0.37*E307*40+3.14)/100</f>
        <v>8.757244615155671E-2</v>
      </c>
      <c r="D309" s="77"/>
      <c r="G309" s="12"/>
      <c r="H309" s="12"/>
      <c r="I309" s="1" t="s">
        <v>121</v>
      </c>
      <c r="J309" s="58">
        <f ca="1">(34-$C$27)*(L307-0.05)^0.62*(0.37*L307*40+3.14)/100</f>
        <v>9.0168425328022453E-2</v>
      </c>
      <c r="K309" s="77"/>
      <c r="N309" s="12"/>
      <c r="P309" s="1" t="s">
        <v>121</v>
      </c>
      <c r="Q309" s="58">
        <f ca="1">(34-$C$27)*(S307-0.05)^0.62*(0.37*S307*40+3.14)/100</f>
        <v>9.2713604209025482E-2</v>
      </c>
      <c r="R309" s="77"/>
      <c r="U309" s="12"/>
      <c r="W309" s="1" t="s">
        <v>121</v>
      </c>
      <c r="X309" s="58">
        <f ca="1">(34-$C$27)*(Z307-0.05)^0.62*(0.37*Z307*40+3.14)/100</f>
        <v>9.5022537108937655E-2</v>
      </c>
      <c r="Y309" s="77"/>
      <c r="AB309" s="12"/>
      <c r="AD309" s="1" t="s">
        <v>121</v>
      </c>
      <c r="AE309" s="58">
        <f ca="1">(34-$C$27)*(AG307-0.05)^0.62*(0.37*AG307*40+3.14)/100</f>
        <v>9.8388924604572436E-2</v>
      </c>
      <c r="AF309" s="77"/>
      <c r="AI309" s="12"/>
      <c r="AK309" s="1" t="s">
        <v>121</v>
      </c>
      <c r="AL309" s="58">
        <f ca="1">(34-$C$27)*(AN307-0.05)^0.62*(0.37*AN307*40+3.14)/100</f>
        <v>0.10102209925580226</v>
      </c>
      <c r="AM309" s="77"/>
      <c r="AP309" s="12"/>
      <c r="AR309" s="1" t="s">
        <v>121</v>
      </c>
      <c r="AS309" s="58">
        <f ca="1">(34-$C$27)*(AU307-0.05)^0.62*(0.37*AU307*40+3.14)/100</f>
        <v>0.10550257024624721</v>
      </c>
      <c r="AT309" s="77"/>
      <c r="AW309" s="12"/>
      <c r="AY309" s="160" t="s">
        <v>121</v>
      </c>
      <c r="AZ309" s="58">
        <f ca="1">(34-$C$27)*(BB307-0.05)^0.62*(0.37*BB307*40+3.14)/100</f>
        <v>0.11094850382110655</v>
      </c>
      <c r="BA309" s="77"/>
      <c r="BD309" s="12"/>
      <c r="BE309" s="12"/>
      <c r="BF309" s="1" t="s">
        <v>121</v>
      </c>
      <c r="BG309" s="58">
        <f ca="1">(34-$C$27)*(BI307-0.05)^0.62*(0.37*BI307*40+3.14)/100</f>
        <v>0.11553420468510855</v>
      </c>
      <c r="BH309" s="77"/>
      <c r="BK309" s="12"/>
      <c r="BL309" s="12"/>
      <c r="BM309" s="1" t="s">
        <v>121</v>
      </c>
      <c r="BN309" s="58">
        <f ca="1">(34-$C$27)*(BP307-0.05)^0.62*(0.37*BP307*40+3.14)/100</f>
        <v>0.12064568107381519</v>
      </c>
      <c r="BO309" s="77"/>
      <c r="BR309" s="12"/>
      <c r="BS309" s="12"/>
      <c r="BT309" s="1" t="s">
        <v>121</v>
      </c>
      <c r="BU309" s="58">
        <f ca="1">(34-$C$27)*(BW307-0.05)^0.62*(0.37*BW307*40+3.14)/100</f>
        <v>0.12730914659160286</v>
      </c>
      <c r="BV309" s="77"/>
      <c r="BY309" s="12"/>
      <c r="BZ309" s="12"/>
      <c r="CA309" s="1"/>
      <c r="CB309" s="58"/>
      <c r="CC309" s="77"/>
      <c r="CF309" s="12"/>
      <c r="CG309" s="12"/>
      <c r="CH309" s="1"/>
      <c r="CI309" s="58"/>
      <c r="CJ309" s="77"/>
      <c r="CM309" s="12"/>
      <c r="CN309" s="12"/>
      <c r="CO309" s="1"/>
      <c r="CP309" s="58"/>
      <c r="CQ309" s="77"/>
      <c r="CT309" s="12"/>
      <c r="CU309" s="12"/>
      <c r="CV309" s="160"/>
      <c r="CW309" s="58"/>
      <c r="CX309" s="77"/>
      <c r="DA309" s="12"/>
      <c r="DB309" s="12"/>
      <c r="DC309" s="1"/>
      <c r="DD309" s="58"/>
      <c r="DE309" s="77"/>
      <c r="DH309" s="12"/>
      <c r="DI309" s="12"/>
      <c r="DJ309" s="1"/>
      <c r="DK309" s="58"/>
      <c r="DL309" s="77"/>
      <c r="DO309" s="12"/>
      <c r="DP309" s="12"/>
      <c r="DQ309" s="1"/>
      <c r="DR309" s="58"/>
      <c r="DS309" s="77"/>
      <c r="DV309" s="12"/>
      <c r="DW309" s="12"/>
      <c r="DX309" s="1"/>
      <c r="DY309" s="58"/>
      <c r="DZ309" s="77"/>
      <c r="EC309" s="12"/>
      <c r="ED309" s="12"/>
      <c r="EE309" s="1"/>
      <c r="EF309" s="58"/>
      <c r="EG309" s="77"/>
      <c r="EJ309" s="12"/>
      <c r="EK309" s="12"/>
    </row>
    <row r="310" spans="1:141" x14ac:dyDescent="0.25">
      <c r="B310" s="1" t="s">
        <v>125</v>
      </c>
      <c r="C310" s="58">
        <f ca="1">0.5*C309^2+0.25*C309+0.03</f>
        <v>5.5727578200372829E-2</v>
      </c>
      <c r="G310" s="12"/>
      <c r="H310" s="12"/>
      <c r="I310" s="1" t="s">
        <v>125</v>
      </c>
      <c r="J310" s="58">
        <f ca="1">0.5*J309^2+0.25*J309+0.03</f>
        <v>5.6607278795073192E-2</v>
      </c>
      <c r="N310" s="12"/>
      <c r="P310" s="1" t="s">
        <v>125</v>
      </c>
      <c r="Q310" s="58">
        <f ca="1">0.5*Q309^2+0.25*Q309+0.03</f>
        <v>5.7476307254970285E-2</v>
      </c>
      <c r="U310" s="12"/>
      <c r="W310" s="1" t="s">
        <v>125</v>
      </c>
      <c r="X310" s="58">
        <f ca="1">0.5*X309^2+0.25*X309+0.03</f>
        <v>5.8270275556544127E-2</v>
      </c>
      <c r="AB310" s="12"/>
      <c r="AD310" s="1" t="s">
        <v>125</v>
      </c>
      <c r="AE310" s="58">
        <f ca="1">0.5*AE309^2+0.25*AE309+0.03</f>
        <v>5.9437421393565226E-2</v>
      </c>
      <c r="AI310" s="12"/>
      <c r="AK310" s="1" t="s">
        <v>125</v>
      </c>
      <c r="AL310" s="58">
        <f ca="1">0.5*AL309^2+0.25*AL309+0.03</f>
        <v>6.0358257082975146E-2</v>
      </c>
      <c r="AP310" s="12"/>
      <c r="AR310" s="1" t="s">
        <v>125</v>
      </c>
      <c r="AS310" s="58">
        <f ca="1">0.5*AS309^2+0.25*AS309+0.03</f>
        <v>6.1941038725843965E-2</v>
      </c>
      <c r="AW310" s="12"/>
      <c r="AY310" s="160" t="s">
        <v>125</v>
      </c>
      <c r="AZ310" s="58">
        <f ca="1">0.5*AZ309^2+0.25*AZ309+0.03</f>
        <v>6.3891911205347679E-2</v>
      </c>
      <c r="BD310" s="12"/>
      <c r="BE310" s="12"/>
      <c r="BF310" s="1" t="s">
        <v>125</v>
      </c>
      <c r="BG310" s="58">
        <f ca="1">0.5*BG309^2+0.25*BG309+0.03</f>
        <v>6.5557627397387408E-2</v>
      </c>
      <c r="BK310" s="12"/>
      <c r="BL310" s="12"/>
      <c r="BM310" s="1" t="s">
        <v>125</v>
      </c>
      <c r="BN310" s="58">
        <f ca="1">0.5*BN309^2+0.25*BN309+0.03</f>
        <v>6.7439110449336162E-2</v>
      </c>
      <c r="BR310" s="12"/>
      <c r="BS310" s="12"/>
      <c r="BT310" s="1" t="s">
        <v>125</v>
      </c>
      <c r="BU310" s="58">
        <f ca="1">0.5*BU309^2+0.25*BU309+0.03</f>
        <v>6.9931096050841829E-2</v>
      </c>
      <c r="BY310" s="12"/>
      <c r="BZ310" s="12"/>
      <c r="CA310" s="1"/>
      <c r="CB310" s="58"/>
      <c r="CF310" s="12"/>
      <c r="CG310" s="12"/>
      <c r="CH310" s="1"/>
      <c r="CI310" s="58"/>
      <c r="CM310" s="12"/>
      <c r="CN310" s="12"/>
      <c r="CO310" s="1"/>
      <c r="CP310" s="58"/>
      <c r="CT310" s="12"/>
      <c r="CU310" s="12"/>
      <c r="CV310" s="160"/>
      <c r="CW310" s="58"/>
      <c r="DA310" s="12"/>
      <c r="DB310" s="12"/>
      <c r="DC310" s="1"/>
      <c r="DD310" s="58"/>
      <c r="DH310" s="12"/>
      <c r="DI310" s="12"/>
      <c r="DJ310" s="1"/>
      <c r="DK310" s="58"/>
      <c r="DO310" s="12"/>
      <c r="DP310" s="12"/>
      <c r="DQ310" s="1"/>
      <c r="DR310" s="58"/>
      <c r="DV310" s="12"/>
      <c r="DW310" s="12"/>
      <c r="DX310" s="1"/>
      <c r="DY310" s="58"/>
      <c r="EC310" s="12"/>
      <c r="ED310" s="12"/>
      <c r="EE310" s="1"/>
      <c r="EF310" s="58"/>
      <c r="EJ310" s="12"/>
      <c r="EK310" s="12"/>
    </row>
    <row r="311" spans="1:141" x14ac:dyDescent="0.25">
      <c r="B311" s="1" t="s">
        <v>133</v>
      </c>
      <c r="C311" t="str">
        <f ca="1">IF(C309&lt;10%,"A",IF(C309&lt;20%,"B",IF(C309&lt;30%,"C"," -")))</f>
        <v>A</v>
      </c>
      <c r="I311" s="1" t="s">
        <v>133</v>
      </c>
      <c r="J311" t="str">
        <f ca="1">IF(J309&lt;10%,"A",IF(J309&lt;20%,"B",IF(J309&lt;30%,"C"," -")))</f>
        <v>A</v>
      </c>
      <c r="P311" s="1" t="s">
        <v>133</v>
      </c>
      <c r="Q311" t="str">
        <f ca="1">IF(Q309&lt;10%,"A",IF(Q309&lt;20%,"B",IF(Q309&lt;30%,"C"," -")))</f>
        <v>A</v>
      </c>
      <c r="W311" s="1" t="s">
        <v>133</v>
      </c>
      <c r="X311" t="str">
        <f ca="1">IF(X309&lt;10%,"A",IF(X309&lt;20%,"B",IF(X309&lt;30%,"C"," -")))</f>
        <v>A</v>
      </c>
      <c r="AD311" s="1" t="s">
        <v>133</v>
      </c>
      <c r="AE311" t="str">
        <f ca="1">IF(AE309&lt;10%,"A",IF(AE309&lt;20%,"B",IF(AE309&lt;30%,"C"," -")))</f>
        <v>A</v>
      </c>
      <c r="AK311" s="1" t="s">
        <v>133</v>
      </c>
      <c r="AL311" t="str">
        <f ca="1">IF(AL309&lt;10%,"A",IF(AL309&lt;20%,"B",IF(AL309&lt;30%,"C"," -")))</f>
        <v>B</v>
      </c>
      <c r="AR311" s="1" t="s">
        <v>133</v>
      </c>
      <c r="AS311" t="str">
        <f ca="1">IF(AS309&lt;10%,"A",IF(AS309&lt;20%,"B",IF(AS309&lt;30%,"C"," -")))</f>
        <v>B</v>
      </c>
      <c r="AY311" s="160" t="s">
        <v>133</v>
      </c>
      <c r="AZ311" t="str">
        <f ca="1">IF(AZ309&lt;10%,"A",IF(AZ309&lt;20%,"B",IF(AZ309&lt;30%,"C"," -")))</f>
        <v>B</v>
      </c>
      <c r="BF311" s="1" t="s">
        <v>133</v>
      </c>
      <c r="BG311" t="str">
        <f ca="1">IF(BG309&lt;10%,"A",IF(BG309&lt;20%,"B",IF(BG309&lt;30%,"C"," -")))</f>
        <v>B</v>
      </c>
      <c r="BM311" s="1" t="s">
        <v>133</v>
      </c>
      <c r="BN311" t="str">
        <f ca="1">IF(BN309&lt;10%,"A",IF(BN309&lt;20%,"B",IF(BN309&lt;30%,"C"," -")))</f>
        <v>B</v>
      </c>
      <c r="BT311" s="1" t="s">
        <v>133</v>
      </c>
      <c r="BU311" t="str">
        <f ca="1">IF(BU309&lt;10%,"A",IF(BU309&lt;20%,"B",IF(BU309&lt;30%,"C"," -")))</f>
        <v>B</v>
      </c>
      <c r="CA311" s="1"/>
      <c r="CH311" s="1"/>
      <c r="CO311" s="1"/>
      <c r="CV311" s="160"/>
      <c r="DC311" s="1"/>
      <c r="DJ311" s="1"/>
      <c r="DQ311" s="1"/>
      <c r="DX311" s="1"/>
      <c r="EE311" s="1"/>
    </row>
    <row r="312" spans="1:141" x14ac:dyDescent="0.25">
      <c r="B312" s="1" t="s">
        <v>198</v>
      </c>
      <c r="C312" s="10">
        <f ca="1">ABS(0.4527*LN(C309)+1.2387)</f>
        <v>0.13624472756986883</v>
      </c>
      <c r="G312" s="12"/>
      <c r="H312" s="12"/>
      <c r="I312" s="1" t="s">
        <v>198</v>
      </c>
      <c r="J312" s="10">
        <f ca="1">ABS(0.4527*LN(J309)+1.2387)</f>
        <v>0.1494694106482346</v>
      </c>
      <c r="N312" s="12"/>
      <c r="P312" s="1" t="s">
        <v>198</v>
      </c>
      <c r="Q312" s="10">
        <f ca="1">ABS(0.4527*LN(Q309)+1.2387)</f>
        <v>0.16207072395233602</v>
      </c>
      <c r="U312" s="12"/>
      <c r="W312" s="1" t="s">
        <v>198</v>
      </c>
      <c r="X312" s="10">
        <f ca="1">ABS(0.4527*LN(X309)+1.2387)</f>
        <v>0.17320663655043722</v>
      </c>
      <c r="AB312" s="12"/>
      <c r="AD312" s="1" t="s">
        <v>198</v>
      </c>
      <c r="AE312" s="10">
        <f ca="1">ABS(0.4527*LN(AE309)+1.2387)</f>
        <v>0.18896700076192974</v>
      </c>
      <c r="AI312" s="12"/>
      <c r="AK312" s="1" t="s">
        <v>198</v>
      </c>
      <c r="AL312" s="10">
        <f ca="1">ABS(0.4527*LN(AL309)+1.2387)</f>
        <v>0.20092328514679192</v>
      </c>
      <c r="AP312" s="12"/>
      <c r="AR312" s="1" t="s">
        <v>198</v>
      </c>
      <c r="AS312" s="10">
        <f ca="1">ABS(0.4527*LN(AS309)+1.2387)</f>
        <v>0.22056866237003603</v>
      </c>
      <c r="AW312" s="12"/>
      <c r="AY312" s="160" t="s">
        <v>198</v>
      </c>
      <c r="AZ312" s="10">
        <f ca="1">ABS(0.4527*LN(AZ309)+1.2387)</f>
        <v>0.24335343770378881</v>
      </c>
      <c r="BD312" s="12"/>
      <c r="BE312" s="12"/>
      <c r="BF312" s="1" t="s">
        <v>198</v>
      </c>
      <c r="BG312" s="10">
        <f ca="1">ABS(0.4527*LN(BG309)+1.2387)</f>
        <v>0.26168799886814775</v>
      </c>
      <c r="BK312" s="12"/>
      <c r="BL312" s="12"/>
      <c r="BM312" s="1" t="s">
        <v>198</v>
      </c>
      <c r="BN312" s="10">
        <f ca="1">ABS(0.4527*LN(BN309)+1.2387)</f>
        <v>0.2812859992153417</v>
      </c>
      <c r="BR312" s="12"/>
      <c r="BS312" s="12"/>
      <c r="BT312" s="1" t="s">
        <v>198</v>
      </c>
      <c r="BU312" s="10">
        <f ca="1">ABS(0.4527*LN(BU309)+1.2387)</f>
        <v>0.30562331390781361</v>
      </c>
      <c r="BY312" s="12"/>
      <c r="BZ312" s="12"/>
      <c r="CA312" s="1"/>
      <c r="CB312" s="10"/>
      <c r="CF312" s="12"/>
      <c r="CG312" s="12"/>
      <c r="CH312" s="1"/>
      <c r="CI312" s="10"/>
      <c r="CM312" s="12"/>
      <c r="CN312" s="12"/>
      <c r="CO312" s="1"/>
      <c r="CP312" s="10"/>
      <c r="CT312" s="12"/>
      <c r="CU312" s="12"/>
      <c r="CV312" s="160"/>
      <c r="CW312" s="10"/>
      <c r="DA312" s="12"/>
      <c r="DB312" s="12"/>
      <c r="DC312" s="1"/>
      <c r="DD312" s="10"/>
      <c r="DH312" s="12"/>
      <c r="DI312" s="12"/>
      <c r="DJ312" s="1"/>
      <c r="DK312" s="10"/>
      <c r="DO312" s="12"/>
      <c r="DP312" s="12"/>
      <c r="DQ312" s="1"/>
      <c r="DR312" s="10"/>
      <c r="DV312" s="12"/>
      <c r="DW312" s="12"/>
      <c r="DX312" s="1"/>
      <c r="DY312" s="10"/>
      <c r="EC312" s="12"/>
      <c r="ED312" s="12"/>
      <c r="EE312" s="1"/>
      <c r="EF312" s="10"/>
      <c r="EJ312" s="12"/>
      <c r="EK312" s="12"/>
    </row>
    <row r="313" spans="1:141" x14ac:dyDescent="0.25">
      <c r="B313" s="1" t="s">
        <v>230</v>
      </c>
      <c r="C313" s="10">
        <f ca="1">IFERROR(MAX(ROUND(C312,1),0.2),0.2)</f>
        <v>0.2</v>
      </c>
      <c r="G313" s="12"/>
      <c r="H313" s="12"/>
      <c r="I313" s="1" t="s">
        <v>230</v>
      </c>
      <c r="J313" s="10">
        <f ca="1">IFERROR(MAX(ROUND(J312,1),0.2),0.2)</f>
        <v>0.2</v>
      </c>
      <c r="N313" s="12"/>
      <c r="P313" s="1" t="s">
        <v>230</v>
      </c>
      <c r="Q313" s="10">
        <f ca="1">IFERROR(MAX(ROUND(Q312,1),0.2),0.2)</f>
        <v>0.2</v>
      </c>
      <c r="U313" s="12"/>
      <c r="W313" s="1" t="s">
        <v>230</v>
      </c>
      <c r="X313" s="10">
        <f ca="1">IFERROR(MAX(ROUND(X312,1),0.2),0.2)</f>
        <v>0.2</v>
      </c>
      <c r="AB313" s="12"/>
      <c r="AD313" s="1" t="s">
        <v>230</v>
      </c>
      <c r="AE313" s="10">
        <f ca="1">IFERROR(MAX(ROUND(AE312,1),0.2),0.2)</f>
        <v>0.2</v>
      </c>
      <c r="AI313" s="12"/>
      <c r="AK313" s="1" t="s">
        <v>230</v>
      </c>
      <c r="AL313" s="10">
        <f ca="1">IFERROR(MAX(ROUND(AL312,1),0.2),0.2)</f>
        <v>0.2</v>
      </c>
      <c r="AP313" s="12"/>
      <c r="AR313" s="1" t="s">
        <v>230</v>
      </c>
      <c r="AS313" s="10">
        <f ca="1">IFERROR(MAX(ROUND(AS312,1),0.2),0.2)</f>
        <v>0.2</v>
      </c>
      <c r="AW313" s="12"/>
      <c r="AY313" s="160"/>
      <c r="AZ313" s="10">
        <f ca="1">IFERROR(MAX(ROUND(AZ312,1),0.2),0.2)</f>
        <v>0.2</v>
      </c>
      <c r="BD313" s="12"/>
      <c r="BE313" s="12"/>
      <c r="BF313" s="1"/>
      <c r="BG313" s="10">
        <f ca="1">IFERROR(MAX(ROUND(BG312,1),0.2),0.2)</f>
        <v>0.3</v>
      </c>
      <c r="BK313" s="12"/>
      <c r="BL313" s="12"/>
      <c r="BM313" s="1"/>
      <c r="BN313" s="10">
        <f ca="1">IFERROR(MAX(ROUND(BN312,1),0.2),0.2)</f>
        <v>0.3</v>
      </c>
      <c r="BR313" s="12"/>
      <c r="BS313" s="12"/>
      <c r="BT313" s="1"/>
      <c r="BU313" s="10">
        <f ca="1">IFERROR(MAX(ROUND(BU312,1),0.2),0.2)</f>
        <v>0.3</v>
      </c>
      <c r="BY313" s="12"/>
      <c r="BZ313" s="12"/>
      <c r="CA313" s="1"/>
      <c r="CB313" s="10"/>
      <c r="CF313" s="12"/>
      <c r="CG313" s="12"/>
      <c r="CH313" s="1"/>
      <c r="CI313" s="10"/>
      <c r="CM313" s="12"/>
      <c r="CN313" s="12"/>
      <c r="CO313" s="1"/>
      <c r="CP313" s="10"/>
      <c r="CT313" s="12"/>
      <c r="CU313" s="12"/>
      <c r="CV313" s="160"/>
      <c r="CW313" s="10"/>
      <c r="DA313" s="12"/>
      <c r="DB313" s="12"/>
      <c r="DC313" s="1"/>
      <c r="DD313" s="10"/>
      <c r="DH313" s="12"/>
      <c r="DI313" s="12"/>
      <c r="DJ313" s="1"/>
      <c r="DK313" s="10"/>
      <c r="DO313" s="12"/>
      <c r="DP313" s="12"/>
      <c r="DQ313" s="1"/>
      <c r="DR313" s="10"/>
      <c r="DV313" s="12"/>
      <c r="DW313" s="12"/>
      <c r="DX313" s="1"/>
      <c r="DY313" s="10"/>
      <c r="EC313" s="12"/>
      <c r="ED313" s="12"/>
      <c r="EE313" s="1"/>
      <c r="EF313" s="10"/>
      <c r="EJ313" s="12"/>
      <c r="EK313" s="12"/>
    </row>
    <row r="314" spans="1:141" x14ac:dyDescent="0.25">
      <c r="AY314" s="157"/>
      <c r="CV314" s="157"/>
    </row>
    <row r="315" spans="1:141" x14ac:dyDescent="0.25">
      <c r="A315" s="315"/>
      <c r="B315" s="316" t="s">
        <v>441</v>
      </c>
      <c r="C315" s="315"/>
      <c r="D315" s="315"/>
      <c r="E315" s="315"/>
      <c r="F315" s="315"/>
      <c r="G315" s="315"/>
      <c r="H315" s="315"/>
      <c r="I315" s="316" t="s">
        <v>441</v>
      </c>
      <c r="J315" s="315"/>
      <c r="K315" s="315"/>
      <c r="L315" s="315"/>
      <c r="M315" s="315"/>
      <c r="N315" s="315"/>
      <c r="O315" s="315"/>
      <c r="P315" s="316" t="s">
        <v>441</v>
      </c>
      <c r="Q315" s="315"/>
      <c r="R315" s="315"/>
      <c r="S315" s="315"/>
      <c r="T315" s="315"/>
      <c r="U315" s="315"/>
      <c r="V315" s="315"/>
      <c r="W315" s="316" t="s">
        <v>441</v>
      </c>
      <c r="X315" s="315"/>
      <c r="Y315" s="315"/>
      <c r="Z315" s="315"/>
      <c r="AA315" s="315"/>
      <c r="AB315" s="315"/>
      <c r="AC315" s="315"/>
      <c r="AD315" s="316" t="s">
        <v>441</v>
      </c>
      <c r="AE315" s="315"/>
      <c r="AF315" s="315"/>
      <c r="AG315" s="315"/>
      <c r="AH315" s="315"/>
      <c r="AI315" s="315"/>
      <c r="AJ315" s="315"/>
      <c r="AK315" s="316" t="s">
        <v>441</v>
      </c>
      <c r="AL315" s="315"/>
      <c r="AM315" s="315"/>
      <c r="AN315" s="315"/>
      <c r="AO315" s="315"/>
      <c r="AP315" s="315"/>
      <c r="AQ315" s="315"/>
      <c r="AR315" s="316" t="s">
        <v>441</v>
      </c>
      <c r="AS315" s="315"/>
      <c r="AT315" s="315"/>
      <c r="AU315" s="315"/>
      <c r="AV315" s="315"/>
      <c r="AW315" s="315"/>
      <c r="AX315" s="315"/>
      <c r="AY315" s="316" t="s">
        <v>441</v>
      </c>
      <c r="AZ315" s="315"/>
      <c r="BA315" s="315"/>
      <c r="BB315" s="315"/>
      <c r="BC315" s="315"/>
      <c r="BD315" s="315"/>
      <c r="BE315" s="315"/>
      <c r="BF315" s="316" t="s">
        <v>441</v>
      </c>
      <c r="BG315" s="315"/>
      <c r="BH315" s="315"/>
      <c r="BI315" s="315"/>
      <c r="BJ315" s="315"/>
      <c r="BK315" s="315"/>
      <c r="BL315" s="315"/>
      <c r="BM315" s="316" t="s">
        <v>441</v>
      </c>
      <c r="BN315" s="315"/>
      <c r="BO315" s="315"/>
      <c r="BP315" s="315"/>
      <c r="BQ315" s="315"/>
      <c r="BR315" s="315"/>
      <c r="BS315" s="315"/>
      <c r="BT315" s="316" t="s">
        <v>441</v>
      </c>
      <c r="BU315" s="315"/>
      <c r="BV315" s="315"/>
      <c r="BW315" s="315"/>
      <c r="BX315" s="315"/>
      <c r="BY315" s="315"/>
      <c r="BZ315" s="315"/>
    </row>
    <row r="316" spans="1:141" x14ac:dyDescent="0.25">
      <c r="B316" s="1"/>
      <c r="I316" s="1"/>
      <c r="P316" s="1"/>
      <c r="W316" s="1"/>
      <c r="AD316" s="1"/>
      <c r="AK316" s="1"/>
      <c r="AR316" s="1"/>
      <c r="AY316" s="1"/>
      <c r="BF316" s="1"/>
      <c r="BM316" s="1"/>
      <c r="BT316" s="1"/>
    </row>
    <row r="317" spans="1:141" x14ac:dyDescent="0.25">
      <c r="B317" s="1" t="s">
        <v>958</v>
      </c>
      <c r="C317" s="109">
        <f>MAX($C$35,C179)</f>
        <v>40</v>
      </c>
      <c r="I317" t="s">
        <v>958</v>
      </c>
      <c r="J317" s="109">
        <f t="shared" ref="J317" si="370">MAX($C$35,J179)</f>
        <v>40</v>
      </c>
      <c r="P317" t="s">
        <v>958</v>
      </c>
      <c r="Q317" s="109">
        <f t="shared" ref="Q317" si="371">MAX($C$35,Q179)</f>
        <v>40</v>
      </c>
      <c r="W317" t="s">
        <v>958</v>
      </c>
      <c r="X317" s="109">
        <f t="shared" ref="X317" si="372">MAX($C$35,X179)</f>
        <v>40</v>
      </c>
      <c r="AD317" t="s">
        <v>958</v>
      </c>
      <c r="AE317" s="109">
        <f t="shared" ref="AE317" si="373">MAX($C$35,AE179)</f>
        <v>40</v>
      </c>
      <c r="AK317" t="s">
        <v>958</v>
      </c>
      <c r="AL317" s="109">
        <f t="shared" ref="AL317" si="374">MAX($C$35,AL179)</f>
        <v>40</v>
      </c>
      <c r="AR317" t="s">
        <v>958</v>
      </c>
      <c r="AS317" s="109">
        <f t="shared" ref="AS317" si="375">MAX($C$35,AS179)</f>
        <v>42.456333236702726</v>
      </c>
      <c r="AY317" t="s">
        <v>958</v>
      </c>
      <c r="AZ317" s="109">
        <f t="shared" ref="AZ317" si="376">MAX($C$35,AZ179)</f>
        <v>64.084812061889522</v>
      </c>
      <c r="BF317" t="s">
        <v>958</v>
      </c>
      <c r="BG317" s="109">
        <f t="shared" ref="BG317" si="377">MAX($C$35,BG179)</f>
        <v>84.910940876625077</v>
      </c>
      <c r="BM317" t="s">
        <v>958</v>
      </c>
      <c r="BN317" s="109">
        <f t="shared" ref="BN317" si="378">MAX($C$35,BN179)</f>
        <v>112.58622415977274</v>
      </c>
      <c r="BT317" t="s">
        <v>958</v>
      </c>
      <c r="BU317" s="109">
        <f t="shared" ref="BU317" si="379">MAX($C$35,BU179)</f>
        <v>156.37705635829113</v>
      </c>
    </row>
    <row r="318" spans="1:141" x14ac:dyDescent="0.25">
      <c r="B318" s="1"/>
      <c r="I318" s="1"/>
      <c r="P318" s="1"/>
      <c r="W318" s="1"/>
      <c r="AD318" s="1"/>
      <c r="AK318" s="1"/>
      <c r="AR318" s="1"/>
      <c r="AY318" s="1"/>
      <c r="BF318" s="1"/>
      <c r="BM318" s="1"/>
      <c r="BT318" s="1"/>
    </row>
    <row r="319" spans="1:141" x14ac:dyDescent="0.25">
      <c r="B319" t="s">
        <v>598</v>
      </c>
      <c r="I319" t="s">
        <v>598</v>
      </c>
      <c r="P319" t="s">
        <v>598</v>
      </c>
      <c r="W319" t="s">
        <v>598</v>
      </c>
      <c r="AD319" t="s">
        <v>598</v>
      </c>
      <c r="AK319" t="s">
        <v>598</v>
      </c>
      <c r="AR319" t="s">
        <v>598</v>
      </c>
      <c r="AY319" t="s">
        <v>598</v>
      </c>
      <c r="BF319" t="s">
        <v>598</v>
      </c>
      <c r="BM319" t="s">
        <v>598</v>
      </c>
      <c r="BT319" t="s">
        <v>598</v>
      </c>
    </row>
    <row r="320" spans="1:141" x14ac:dyDescent="0.25">
      <c r="B320" t="s">
        <v>398</v>
      </c>
      <c r="C320">
        <f>$E$427</f>
        <v>200</v>
      </c>
      <c r="I320" t="s">
        <v>398</v>
      </c>
      <c r="J320">
        <f>$E$427</f>
        <v>200</v>
      </c>
      <c r="P320" t="s">
        <v>398</v>
      </c>
      <c r="Q320">
        <f>$E$427</f>
        <v>200</v>
      </c>
      <c r="W320" t="s">
        <v>398</v>
      </c>
      <c r="X320">
        <f>$E$427</f>
        <v>200</v>
      </c>
      <c r="AD320" t="s">
        <v>398</v>
      </c>
      <c r="AE320">
        <f>$E$427</f>
        <v>200</v>
      </c>
      <c r="AK320" t="s">
        <v>398</v>
      </c>
      <c r="AL320">
        <f>$E$427</f>
        <v>200</v>
      </c>
      <c r="AR320" t="s">
        <v>398</v>
      </c>
      <c r="AS320">
        <f>$E$427</f>
        <v>200</v>
      </c>
      <c r="AY320" t="s">
        <v>398</v>
      </c>
      <c r="AZ320">
        <f>$E$427</f>
        <v>200</v>
      </c>
      <c r="BF320" t="s">
        <v>398</v>
      </c>
      <c r="BG320">
        <f>$E$427</f>
        <v>200</v>
      </c>
      <c r="BM320" t="s">
        <v>398</v>
      </c>
      <c r="BN320">
        <f>$E$427</f>
        <v>200</v>
      </c>
      <c r="BT320" t="s">
        <v>398</v>
      </c>
      <c r="BU320">
        <f>$E$427</f>
        <v>200</v>
      </c>
    </row>
    <row r="321" spans="2:73" x14ac:dyDescent="0.25">
      <c r="B321" t="s">
        <v>231</v>
      </c>
      <c r="C321">
        <f>$E$429</f>
        <v>3.2151701844275715</v>
      </c>
      <c r="I321" t="s">
        <v>231</v>
      </c>
      <c r="J321">
        <f>$C$14/1000/$E$428</f>
        <v>3.2151701844275715</v>
      </c>
      <c r="P321" t="s">
        <v>231</v>
      </c>
      <c r="Q321">
        <f>$C$14/1000/$E$428</f>
        <v>3.2151701844275715</v>
      </c>
      <c r="W321" t="s">
        <v>231</v>
      </c>
      <c r="X321">
        <f>$C$14/1000/$E$428</f>
        <v>3.2151701844275715</v>
      </c>
      <c r="AD321" t="s">
        <v>231</v>
      </c>
      <c r="AE321">
        <f>$C$14/1000/$E$428</f>
        <v>3.2151701844275715</v>
      </c>
      <c r="AK321" t="s">
        <v>231</v>
      </c>
      <c r="AL321">
        <f>$C$14/1000/$E$428</f>
        <v>3.2151701844275715</v>
      </c>
      <c r="AR321" t="s">
        <v>231</v>
      </c>
      <c r="AS321">
        <f>$C$14/1000/$E$428</f>
        <v>3.2151701844275715</v>
      </c>
      <c r="AY321" t="s">
        <v>231</v>
      </c>
      <c r="AZ321">
        <f>$C$14/1000/$E$428</f>
        <v>3.2151701844275715</v>
      </c>
      <c r="BF321" t="s">
        <v>231</v>
      </c>
      <c r="BG321">
        <f>$C$14/1000/$E$428</f>
        <v>3.2151701844275715</v>
      </c>
      <c r="BM321" t="s">
        <v>231</v>
      </c>
      <c r="BN321">
        <f>$C$14/1000/$E$428</f>
        <v>3.2151701844275715</v>
      </c>
      <c r="BT321" t="s">
        <v>231</v>
      </c>
      <c r="BU321">
        <f>$C$14/1000/$E$428</f>
        <v>3.2151701844275715</v>
      </c>
    </row>
    <row r="322" spans="2:73" x14ac:dyDescent="0.25">
      <c r="B322" t="s">
        <v>173</v>
      </c>
      <c r="C322">
        <f>0.5*1.2*C321^2</f>
        <v>6.2023915888992143</v>
      </c>
      <c r="I322" t="s">
        <v>173</v>
      </c>
      <c r="J322">
        <f t="shared" ref="J322" si="380">0.5*1.2*J321^2</f>
        <v>6.2023915888992143</v>
      </c>
      <c r="P322" t="s">
        <v>173</v>
      </c>
      <c r="Q322">
        <f t="shared" ref="Q322" si="381">0.5*1.2*Q321^2</f>
        <v>6.2023915888992143</v>
      </c>
      <c r="W322" t="s">
        <v>173</v>
      </c>
      <c r="X322">
        <f t="shared" ref="X322" si="382">0.5*1.2*X321^2</f>
        <v>6.2023915888992143</v>
      </c>
      <c r="AD322" t="s">
        <v>173</v>
      </c>
      <c r="AE322">
        <f t="shared" ref="AE322" si="383">0.5*1.2*AE321^2</f>
        <v>6.2023915888992143</v>
      </c>
      <c r="AK322" t="s">
        <v>173</v>
      </c>
      <c r="AL322">
        <f t="shared" ref="AL322" si="384">0.5*1.2*AL321^2</f>
        <v>6.2023915888992143</v>
      </c>
      <c r="AR322" t="s">
        <v>173</v>
      </c>
      <c r="AS322">
        <f t="shared" ref="AS322" si="385">0.5*1.2*AS321^2</f>
        <v>6.2023915888992143</v>
      </c>
      <c r="AY322" t="s">
        <v>173</v>
      </c>
      <c r="AZ322">
        <f t="shared" ref="AZ322" si="386">0.5*1.2*AZ321^2</f>
        <v>6.2023915888992143</v>
      </c>
      <c r="BF322" t="s">
        <v>173</v>
      </c>
      <c r="BG322">
        <f t="shared" ref="BG322" si="387">0.5*1.2*BG321^2</f>
        <v>6.2023915888992143</v>
      </c>
      <c r="BM322" t="s">
        <v>173</v>
      </c>
      <c r="BN322">
        <f t="shared" ref="BN322" si="388">0.5*1.2*BN321^2</f>
        <v>6.2023915888992143</v>
      </c>
      <c r="BT322" t="s">
        <v>173</v>
      </c>
      <c r="BU322">
        <f t="shared" ref="BU322" si="389">0.5*1.2*BU321^2</f>
        <v>6.2023915888992143</v>
      </c>
    </row>
    <row r="323" spans="2:73" x14ac:dyDescent="0.25">
      <c r="B323" t="s">
        <v>597</v>
      </c>
      <c r="C323">
        <f>$E$438</f>
        <v>4.5016538143140457</v>
      </c>
      <c r="I323" t="s">
        <v>597</v>
      </c>
      <c r="J323">
        <f>$E$438</f>
        <v>4.5016538143140457</v>
      </c>
      <c r="P323" t="s">
        <v>597</v>
      </c>
      <c r="Q323">
        <f>$E$438</f>
        <v>4.5016538143140457</v>
      </c>
      <c r="W323" t="s">
        <v>597</v>
      </c>
      <c r="X323">
        <f>$E$438</f>
        <v>4.5016538143140457</v>
      </c>
      <c r="AD323" t="s">
        <v>597</v>
      </c>
      <c r="AE323">
        <f>$E$438</f>
        <v>4.5016538143140457</v>
      </c>
      <c r="AK323" t="s">
        <v>597</v>
      </c>
      <c r="AL323">
        <f>$E$438</f>
        <v>4.5016538143140457</v>
      </c>
      <c r="AR323" t="s">
        <v>597</v>
      </c>
      <c r="AS323">
        <f>$E$438</f>
        <v>4.5016538143140457</v>
      </c>
      <c r="AY323" t="s">
        <v>597</v>
      </c>
      <c r="AZ323">
        <f>$E$438</f>
        <v>4.5016538143140457</v>
      </c>
      <c r="BF323" t="s">
        <v>597</v>
      </c>
      <c r="BG323">
        <f>$E$438</f>
        <v>4.5016538143140457</v>
      </c>
      <c r="BM323" t="s">
        <v>597</v>
      </c>
      <c r="BN323">
        <f>$E$438</f>
        <v>4.5016538143140457</v>
      </c>
      <c r="BT323" t="s">
        <v>597</v>
      </c>
      <c r="BU323">
        <f>$E$438</f>
        <v>4.5016538143140457</v>
      </c>
    </row>
    <row r="324" spans="2:73" x14ac:dyDescent="0.25">
      <c r="B324" t="s">
        <v>960</v>
      </c>
      <c r="C324" s="109">
        <f>C$317+C323</f>
        <v>44.501653814314047</v>
      </c>
      <c r="I324" t="s">
        <v>960</v>
      </c>
      <c r="J324" s="109">
        <f t="shared" ref="J324" si="390">J$317+J323</f>
        <v>44.501653814314047</v>
      </c>
      <c r="P324" t="s">
        <v>960</v>
      </c>
      <c r="Q324" s="109">
        <f t="shared" ref="Q324" si="391">Q$317+Q323</f>
        <v>44.501653814314047</v>
      </c>
      <c r="W324" t="s">
        <v>960</v>
      </c>
      <c r="X324" s="109">
        <f t="shared" ref="X324" si="392">X$317+X323</f>
        <v>44.501653814314047</v>
      </c>
      <c r="AD324" t="s">
        <v>960</v>
      </c>
      <c r="AE324" s="109">
        <f t="shared" ref="AE324" si="393">AE$317+AE323</f>
        <v>44.501653814314047</v>
      </c>
      <c r="AK324" t="s">
        <v>960</v>
      </c>
      <c r="AL324" s="109">
        <f t="shared" ref="AL324" si="394">AL$317+AL323</f>
        <v>44.501653814314047</v>
      </c>
      <c r="AR324" t="s">
        <v>960</v>
      </c>
      <c r="AS324" s="109">
        <f t="shared" ref="AS324" si="395">AS$317+AS323</f>
        <v>46.957987051016772</v>
      </c>
      <c r="AY324" t="s">
        <v>960</v>
      </c>
      <c r="AZ324" s="109">
        <f t="shared" ref="AZ324" si="396">AZ$317+AZ323</f>
        <v>68.586465876203562</v>
      </c>
      <c r="BF324" t="s">
        <v>960</v>
      </c>
      <c r="BG324" s="109">
        <f t="shared" ref="BG324" si="397">BG$317+BG323</f>
        <v>89.412594690939116</v>
      </c>
      <c r="BM324" t="s">
        <v>960</v>
      </c>
      <c r="BN324" s="109">
        <f t="shared" ref="BN324" si="398">BN$317+BN323</f>
        <v>117.08787797408678</v>
      </c>
      <c r="BT324" t="s">
        <v>960</v>
      </c>
      <c r="BU324" s="109">
        <f t="shared" ref="BU324" si="399">BU$317+BU323</f>
        <v>160.87871017260517</v>
      </c>
    </row>
    <row r="325" spans="2:73" x14ac:dyDescent="0.25">
      <c r="B325" t="s">
        <v>599</v>
      </c>
      <c r="C325" s="109">
        <f>C324+C322</f>
        <v>50.704045403213257</v>
      </c>
      <c r="I325" t="s">
        <v>599</v>
      </c>
      <c r="J325" s="109">
        <f t="shared" ref="J325" si="400">J324+J322</f>
        <v>50.704045403213257</v>
      </c>
      <c r="P325" t="s">
        <v>599</v>
      </c>
      <c r="Q325" s="109">
        <f t="shared" ref="Q325" si="401">Q324+Q322</f>
        <v>50.704045403213257</v>
      </c>
      <c r="W325" t="s">
        <v>599</v>
      </c>
      <c r="X325" s="109">
        <f t="shared" ref="X325" si="402">X324+X322</f>
        <v>50.704045403213257</v>
      </c>
      <c r="AD325" t="s">
        <v>599</v>
      </c>
      <c r="AE325" s="109">
        <f t="shared" ref="AE325" si="403">AE324+AE322</f>
        <v>50.704045403213257</v>
      </c>
      <c r="AK325" t="s">
        <v>599</v>
      </c>
      <c r="AL325" s="109">
        <f t="shared" ref="AL325" si="404">AL324+AL322</f>
        <v>50.704045403213257</v>
      </c>
      <c r="AR325" t="s">
        <v>599</v>
      </c>
      <c r="AS325" s="109">
        <f t="shared" ref="AS325" si="405">AS324+AS322</f>
        <v>53.16037863991599</v>
      </c>
      <c r="AY325" t="s">
        <v>599</v>
      </c>
      <c r="AZ325" s="109">
        <f t="shared" ref="AZ325" si="406">AZ324+AZ322</f>
        <v>74.78885746510278</v>
      </c>
      <c r="BF325" t="s">
        <v>599</v>
      </c>
      <c r="BG325" s="109">
        <f t="shared" ref="BG325" si="407">BG324+BG322</f>
        <v>95.614986279838334</v>
      </c>
      <c r="BM325" t="s">
        <v>599</v>
      </c>
      <c r="BN325" s="109">
        <f t="shared" ref="BN325" si="408">BN324+BN322</f>
        <v>123.290269562986</v>
      </c>
      <c r="BT325" t="s">
        <v>599</v>
      </c>
      <c r="BU325" s="109">
        <f t="shared" ref="BU325" si="409">BU324+BU322</f>
        <v>167.08110176150439</v>
      </c>
    </row>
    <row r="326" spans="2:73" x14ac:dyDescent="0.25">
      <c r="B326" t="s">
        <v>478</v>
      </c>
      <c r="C326" s="10">
        <f ca="1">C231</f>
        <v>41.83781919424986</v>
      </c>
      <c r="I326" t="s">
        <v>478</v>
      </c>
      <c r="J326" s="10">
        <f ca="1">J231</f>
        <v>41.288712302843024</v>
      </c>
      <c r="P326" t="s">
        <v>478</v>
      </c>
      <c r="Q326" s="10">
        <f ca="1">Q231</f>
        <v>40.656580172420874</v>
      </c>
      <c r="W326" t="s">
        <v>478</v>
      </c>
      <c r="X326" s="10">
        <f ca="1">X231</f>
        <v>40.001225473380003</v>
      </c>
      <c r="AD326" t="s">
        <v>478</v>
      </c>
      <c r="AE326" s="10">
        <f ca="1">AE231</f>
        <v>39.140265311436899</v>
      </c>
      <c r="AK326" t="s">
        <v>478</v>
      </c>
      <c r="AL326" s="10">
        <f ca="1">AL231</f>
        <v>38.537222890857208</v>
      </c>
      <c r="AR326" t="s">
        <v>478</v>
      </c>
      <c r="AS326" s="10">
        <f ca="1">AS231</f>
        <v>39.324148824746544</v>
      </c>
      <c r="AY326" t="s">
        <v>478</v>
      </c>
      <c r="AZ326" s="10">
        <f ca="1">AZ231</f>
        <v>60.204820728911422</v>
      </c>
      <c r="BF326" t="s">
        <v>478</v>
      </c>
      <c r="BG326" s="10">
        <f ca="1">BG231</f>
        <v>158.45330545842734</v>
      </c>
      <c r="BM326" t="s">
        <v>478</v>
      </c>
      <c r="BN326" s="10" t="e">
        <f ca="1">BN231</f>
        <v>#NUM!</v>
      </c>
      <c r="BT326" t="s">
        <v>478</v>
      </c>
      <c r="BU326" s="10" t="e">
        <f ca="1">BU231</f>
        <v>#NUM!</v>
      </c>
    </row>
    <row r="327" spans="2:73" x14ac:dyDescent="0.25">
      <c r="B327" t="s">
        <v>477</v>
      </c>
      <c r="C327" s="10">
        <f ca="1">C326-15</f>
        <v>26.83781919424986</v>
      </c>
      <c r="I327" t="s">
        <v>477</v>
      </c>
      <c r="J327" s="10">
        <f ca="1">J326-15</f>
        <v>26.288712302843024</v>
      </c>
      <c r="P327" t="s">
        <v>477</v>
      </c>
      <c r="Q327" s="10">
        <f ca="1">Q326-15</f>
        <v>25.656580172420874</v>
      </c>
      <c r="W327" t="s">
        <v>477</v>
      </c>
      <c r="X327" s="10">
        <f ca="1">X326-15</f>
        <v>25.001225473380003</v>
      </c>
      <c r="AD327" t="s">
        <v>477</v>
      </c>
      <c r="AE327" s="10">
        <f ca="1">AE326-15</f>
        <v>24.140265311436899</v>
      </c>
      <c r="AK327" t="s">
        <v>477</v>
      </c>
      <c r="AL327" s="10">
        <f ca="1">AL326-15</f>
        <v>23.537222890857208</v>
      </c>
      <c r="AR327" t="s">
        <v>477</v>
      </c>
      <c r="AS327" s="10">
        <f ca="1">AS326-15</f>
        <v>24.324148824746544</v>
      </c>
      <c r="AY327" t="s">
        <v>477</v>
      </c>
      <c r="AZ327" s="10">
        <f ca="1">AZ326-15</f>
        <v>45.204820728911422</v>
      </c>
      <c r="BF327" t="s">
        <v>477</v>
      </c>
      <c r="BG327" s="10">
        <f ca="1">BG326-15</f>
        <v>143.45330545842734</v>
      </c>
      <c r="BM327" t="s">
        <v>477</v>
      </c>
      <c r="BN327" s="10" t="e">
        <f ca="1">BN326-15</f>
        <v>#NUM!</v>
      </c>
      <c r="BT327" t="s">
        <v>477</v>
      </c>
      <c r="BU327" s="10" t="e">
        <f ca="1">BU326-15</f>
        <v>#NUM!</v>
      </c>
    </row>
    <row r="328" spans="2:73" x14ac:dyDescent="0.25">
      <c r="C328" s="10"/>
      <c r="J328" s="10"/>
      <c r="Q328" s="10"/>
      <c r="X328" s="10"/>
      <c r="AE328" s="10"/>
      <c r="AL328" s="10"/>
      <c r="AS328" s="10"/>
      <c r="AZ328" s="10"/>
      <c r="BG328" s="10"/>
      <c r="BN328" s="10"/>
      <c r="BU328" s="10"/>
    </row>
    <row r="329" spans="2:73" x14ac:dyDescent="0.25">
      <c r="B329" t="s">
        <v>828</v>
      </c>
      <c r="I329" t="s">
        <v>828</v>
      </c>
      <c r="P329" t="s">
        <v>828</v>
      </c>
      <c r="W329" t="s">
        <v>828</v>
      </c>
      <c r="AD329" t="s">
        <v>828</v>
      </c>
      <c r="AK329" t="s">
        <v>828</v>
      </c>
      <c r="AR329" t="s">
        <v>828</v>
      </c>
      <c r="AY329" t="s">
        <v>828</v>
      </c>
      <c r="BF329" t="s">
        <v>828</v>
      </c>
      <c r="BM329" t="s">
        <v>828</v>
      </c>
      <c r="BT329" t="s">
        <v>828</v>
      </c>
    </row>
    <row r="330" spans="2:73" x14ac:dyDescent="0.25">
      <c r="B330" t="s">
        <v>398</v>
      </c>
      <c r="C330">
        <f>$M$427</f>
        <v>200</v>
      </c>
      <c r="I330" t="s">
        <v>398</v>
      </c>
      <c r="J330">
        <f>$M$427</f>
        <v>200</v>
      </c>
      <c r="P330" t="s">
        <v>398</v>
      </c>
      <c r="Q330">
        <f>$M$427</f>
        <v>200</v>
      </c>
      <c r="W330" t="s">
        <v>398</v>
      </c>
      <c r="X330">
        <f>$M$427</f>
        <v>200</v>
      </c>
      <c r="AD330" t="s">
        <v>398</v>
      </c>
      <c r="AE330">
        <f>$M$427</f>
        <v>200</v>
      </c>
      <c r="AK330" t="s">
        <v>398</v>
      </c>
      <c r="AL330">
        <f>$M$427</f>
        <v>200</v>
      </c>
      <c r="AR330" t="s">
        <v>398</v>
      </c>
      <c r="AS330">
        <f>$M$427</f>
        <v>200</v>
      </c>
      <c r="AY330" t="s">
        <v>398</v>
      </c>
      <c r="AZ330">
        <f>$M$427</f>
        <v>200</v>
      </c>
      <c r="BF330" t="s">
        <v>398</v>
      </c>
      <c r="BG330">
        <f>$M$427</f>
        <v>200</v>
      </c>
      <c r="BM330" t="s">
        <v>398</v>
      </c>
      <c r="BN330">
        <f>$M$427</f>
        <v>200</v>
      </c>
      <c r="BT330" t="s">
        <v>398</v>
      </c>
      <c r="BU330">
        <f>$M$427</f>
        <v>200</v>
      </c>
    </row>
    <row r="331" spans="2:73" x14ac:dyDescent="0.25">
      <c r="B331" t="s">
        <v>231</v>
      </c>
      <c r="C331">
        <f>$C$14/1000/$M$428</f>
        <v>3.3010851339721898</v>
      </c>
      <c r="I331" t="s">
        <v>231</v>
      </c>
      <c r="J331">
        <f>$C$14/1000/$M$428</f>
        <v>3.3010851339721898</v>
      </c>
      <c r="P331" t="s">
        <v>231</v>
      </c>
      <c r="Q331">
        <f>$C$14/1000/$M$428</f>
        <v>3.3010851339721898</v>
      </c>
      <c r="W331" t="s">
        <v>231</v>
      </c>
      <c r="X331">
        <f>$C$14/1000/$M$428</f>
        <v>3.3010851339721898</v>
      </c>
      <c r="AD331" t="s">
        <v>231</v>
      </c>
      <c r="AE331">
        <f>$C$14/1000/$M$428</f>
        <v>3.3010851339721898</v>
      </c>
      <c r="AK331" t="s">
        <v>231</v>
      </c>
      <c r="AL331">
        <f>$C$14/1000/$M$428</f>
        <v>3.3010851339721898</v>
      </c>
      <c r="AR331" t="s">
        <v>231</v>
      </c>
      <c r="AS331">
        <f>$C$14/1000/$M$428</f>
        <v>3.3010851339721898</v>
      </c>
      <c r="AY331" t="s">
        <v>231</v>
      </c>
      <c r="AZ331">
        <f>$C$14/1000/$M$428</f>
        <v>3.3010851339721898</v>
      </c>
      <c r="BF331" t="s">
        <v>231</v>
      </c>
      <c r="BG331">
        <f>$C$14/1000/$M$428</f>
        <v>3.3010851339721898</v>
      </c>
      <c r="BM331" t="s">
        <v>231</v>
      </c>
      <c r="BN331">
        <f>$C$14/1000/$M$428</f>
        <v>3.3010851339721898</v>
      </c>
      <c r="BT331" t="s">
        <v>231</v>
      </c>
      <c r="BU331">
        <f>$C$14/1000/$M$428</f>
        <v>3.3010851339721898</v>
      </c>
    </row>
    <row r="332" spans="2:73" x14ac:dyDescent="0.25">
      <c r="B332" t="s">
        <v>173</v>
      </c>
      <c r="C332">
        <f>0.5*1.2*C331^2</f>
        <v>6.5382978370393134</v>
      </c>
      <c r="I332" t="s">
        <v>173</v>
      </c>
      <c r="J332">
        <f t="shared" ref="J332" si="410">0.5*1.2*J331^2</f>
        <v>6.5382978370393134</v>
      </c>
      <c r="P332" t="s">
        <v>173</v>
      </c>
      <c r="Q332">
        <f t="shared" ref="Q332" si="411">0.5*1.2*Q331^2</f>
        <v>6.5382978370393134</v>
      </c>
      <c r="W332" t="s">
        <v>173</v>
      </c>
      <c r="X332">
        <f t="shared" ref="X332" si="412">0.5*1.2*X331^2</f>
        <v>6.5382978370393134</v>
      </c>
      <c r="AD332" t="s">
        <v>173</v>
      </c>
      <c r="AE332">
        <f t="shared" ref="AE332" si="413">0.5*1.2*AE331^2</f>
        <v>6.5382978370393134</v>
      </c>
      <c r="AK332" t="s">
        <v>173</v>
      </c>
      <c r="AL332">
        <f t="shared" ref="AL332" si="414">0.5*1.2*AL331^2</f>
        <v>6.5382978370393134</v>
      </c>
      <c r="AR332" t="s">
        <v>173</v>
      </c>
      <c r="AS332">
        <f t="shared" ref="AS332" si="415">0.5*1.2*AS331^2</f>
        <v>6.5382978370393134</v>
      </c>
      <c r="AY332" t="s">
        <v>173</v>
      </c>
      <c r="AZ332">
        <f t="shared" ref="AZ332" si="416">0.5*1.2*AZ331^2</f>
        <v>6.5382978370393134</v>
      </c>
      <c r="BF332" t="s">
        <v>173</v>
      </c>
      <c r="BG332">
        <f t="shared" ref="BG332" si="417">0.5*1.2*BG331^2</f>
        <v>6.5382978370393134</v>
      </c>
      <c r="BM332" t="s">
        <v>173</v>
      </c>
      <c r="BN332">
        <f t="shared" ref="BN332" si="418">0.5*1.2*BN331^2</f>
        <v>6.5382978370393134</v>
      </c>
      <c r="BT332" t="s">
        <v>173</v>
      </c>
      <c r="BU332">
        <f t="shared" ref="BU332" si="419">0.5*1.2*BU331^2</f>
        <v>6.5382978370393134</v>
      </c>
    </row>
    <row r="333" spans="2:73" x14ac:dyDescent="0.25">
      <c r="B333" t="s">
        <v>597</v>
      </c>
      <c r="C333">
        <f>$M$438</f>
        <v>6.2453721591606595</v>
      </c>
      <c r="I333" t="s">
        <v>597</v>
      </c>
      <c r="J333">
        <f>$M$438</f>
        <v>6.2453721591606595</v>
      </c>
      <c r="P333" t="s">
        <v>597</v>
      </c>
      <c r="Q333">
        <f>$M$438</f>
        <v>6.2453721591606595</v>
      </c>
      <c r="W333" t="s">
        <v>597</v>
      </c>
      <c r="X333">
        <f>$M$438</f>
        <v>6.2453721591606595</v>
      </c>
      <c r="AD333" t="s">
        <v>597</v>
      </c>
      <c r="AE333">
        <f>$M$438</f>
        <v>6.2453721591606595</v>
      </c>
      <c r="AK333" t="s">
        <v>597</v>
      </c>
      <c r="AL333">
        <f>$M$438</f>
        <v>6.2453721591606595</v>
      </c>
      <c r="AR333" t="s">
        <v>597</v>
      </c>
      <c r="AS333">
        <f>$M$438</f>
        <v>6.2453721591606595</v>
      </c>
      <c r="AY333" t="s">
        <v>597</v>
      </c>
      <c r="AZ333">
        <f>$M$438</f>
        <v>6.2453721591606595</v>
      </c>
      <c r="BF333" t="s">
        <v>597</v>
      </c>
      <c r="BG333">
        <f>$M$438</f>
        <v>6.2453721591606595</v>
      </c>
      <c r="BM333" t="s">
        <v>597</v>
      </c>
      <c r="BN333">
        <f>$M$438</f>
        <v>6.2453721591606595</v>
      </c>
      <c r="BT333" t="s">
        <v>597</v>
      </c>
      <c r="BU333">
        <f>$M$438</f>
        <v>6.2453721591606595</v>
      </c>
    </row>
    <row r="334" spans="2:73" x14ac:dyDescent="0.25">
      <c r="B334" t="s">
        <v>960</v>
      </c>
      <c r="C334" s="109">
        <f>C$317+C333</f>
        <v>46.245372159160659</v>
      </c>
      <c r="I334" t="s">
        <v>960</v>
      </c>
      <c r="J334" s="109">
        <f t="shared" ref="J334" si="420">J$317+J333</f>
        <v>46.245372159160659</v>
      </c>
      <c r="P334" t="s">
        <v>960</v>
      </c>
      <c r="Q334" s="109">
        <f t="shared" ref="Q334" si="421">Q$317+Q333</f>
        <v>46.245372159160659</v>
      </c>
      <c r="W334" t="s">
        <v>960</v>
      </c>
      <c r="X334" s="109">
        <f t="shared" ref="X334" si="422">X$317+X333</f>
        <v>46.245372159160659</v>
      </c>
      <c r="AD334" t="s">
        <v>960</v>
      </c>
      <c r="AE334" s="109">
        <f t="shared" ref="AE334" si="423">AE$317+AE333</f>
        <v>46.245372159160659</v>
      </c>
      <c r="AK334" t="s">
        <v>960</v>
      </c>
      <c r="AL334" s="109">
        <f t="shared" ref="AL334" si="424">AL$317+AL333</f>
        <v>46.245372159160659</v>
      </c>
      <c r="AR334" t="s">
        <v>960</v>
      </c>
      <c r="AS334" s="109">
        <f t="shared" ref="AS334" si="425">AS$317+AS333</f>
        <v>48.701705395863385</v>
      </c>
      <c r="AY334" t="s">
        <v>960</v>
      </c>
      <c r="AZ334" s="109">
        <f t="shared" ref="AZ334" si="426">AZ$317+AZ333</f>
        <v>70.330184221050189</v>
      </c>
      <c r="BF334" t="s">
        <v>960</v>
      </c>
      <c r="BG334" s="109">
        <f t="shared" ref="BG334" si="427">BG$317+BG333</f>
        <v>91.156313035785729</v>
      </c>
      <c r="BM334" t="s">
        <v>960</v>
      </c>
      <c r="BN334" s="109">
        <f t="shared" ref="BN334" si="428">BN$317+BN333</f>
        <v>118.83159631893341</v>
      </c>
      <c r="BT334" t="s">
        <v>960</v>
      </c>
      <c r="BU334" s="109">
        <f t="shared" ref="BU334" si="429">BU$317+BU333</f>
        <v>162.62242851745179</v>
      </c>
    </row>
    <row r="335" spans="2:73" x14ac:dyDescent="0.25">
      <c r="B335" t="s">
        <v>599</v>
      </c>
      <c r="C335" s="109">
        <f>C334+C332</f>
        <v>52.783669996199976</v>
      </c>
      <c r="I335" t="s">
        <v>599</v>
      </c>
      <c r="J335" s="109">
        <f t="shared" ref="J335" si="430">J334+J332</f>
        <v>52.783669996199976</v>
      </c>
      <c r="P335" t="s">
        <v>599</v>
      </c>
      <c r="Q335" s="109">
        <f t="shared" ref="Q335" si="431">Q334+Q332</f>
        <v>52.783669996199976</v>
      </c>
      <c r="W335" t="s">
        <v>599</v>
      </c>
      <c r="X335" s="109">
        <f t="shared" ref="X335" si="432">X334+X332</f>
        <v>52.783669996199976</v>
      </c>
      <c r="AD335" t="s">
        <v>599</v>
      </c>
      <c r="AE335" s="109">
        <f t="shared" ref="AE335" si="433">AE334+AE332</f>
        <v>52.783669996199976</v>
      </c>
      <c r="AK335" t="s">
        <v>599</v>
      </c>
      <c r="AL335" s="109">
        <f t="shared" ref="AL335" si="434">AL334+AL332</f>
        <v>52.783669996199976</v>
      </c>
      <c r="AR335" t="s">
        <v>599</v>
      </c>
      <c r="AS335" s="109">
        <f t="shared" ref="AS335" si="435">AS334+AS332</f>
        <v>55.240003232902701</v>
      </c>
      <c r="AY335" t="s">
        <v>599</v>
      </c>
      <c r="AZ335" s="109">
        <f t="shared" ref="AZ335" si="436">AZ334+AZ332</f>
        <v>76.868482058089498</v>
      </c>
      <c r="BF335" t="s">
        <v>599</v>
      </c>
      <c r="BG335" s="109">
        <f t="shared" ref="BG335" si="437">BG334+BG332</f>
        <v>97.694610872825038</v>
      </c>
      <c r="BM335" t="s">
        <v>599</v>
      </c>
      <c r="BN335" s="109">
        <f t="shared" ref="BN335" si="438">BN334+BN332</f>
        <v>125.36989415597272</v>
      </c>
      <c r="BT335" t="s">
        <v>599</v>
      </c>
      <c r="BU335" s="109">
        <f t="shared" ref="BU335" si="439">BU334+BU332</f>
        <v>169.16072635449112</v>
      </c>
    </row>
    <row r="336" spans="2:73" x14ac:dyDescent="0.25">
      <c r="B336" t="s">
        <v>478</v>
      </c>
      <c r="C336" s="10">
        <f ca="1">C326+$M$440</f>
        <v>43.259681484537673</v>
      </c>
      <c r="I336" t="s">
        <v>478</v>
      </c>
      <c r="J336" s="10">
        <f ca="1">J326+$M$440</f>
        <v>42.710574593130836</v>
      </c>
      <c r="P336" t="s">
        <v>478</v>
      </c>
      <c r="Q336" s="10">
        <f ca="1">Q326+$M$440</f>
        <v>42.078442462708686</v>
      </c>
      <c r="W336" t="s">
        <v>478</v>
      </c>
      <c r="X336" s="10">
        <f ca="1">X326+$M$440</f>
        <v>41.423087763667816</v>
      </c>
      <c r="AD336" t="s">
        <v>478</v>
      </c>
      <c r="AE336" s="10">
        <f ca="1">AE326+$M$440</f>
        <v>40.562127601724711</v>
      </c>
      <c r="AK336" t="s">
        <v>478</v>
      </c>
      <c r="AL336" s="10">
        <f ca="1">AL326+$M$440</f>
        <v>39.959085181145021</v>
      </c>
      <c r="AR336" t="s">
        <v>478</v>
      </c>
      <c r="AS336" s="10">
        <f ca="1">AS326+$M$440</f>
        <v>40.746011115034356</v>
      </c>
      <c r="AY336" t="s">
        <v>478</v>
      </c>
      <c r="AZ336" s="10">
        <f ca="1">AZ326+$M$440</f>
        <v>61.626683019199234</v>
      </c>
      <c r="BF336" t="s">
        <v>478</v>
      </c>
      <c r="BG336" s="10">
        <f ca="1">BG326+$M$440</f>
        <v>159.87516774871514</v>
      </c>
      <c r="BM336" t="s">
        <v>478</v>
      </c>
      <c r="BN336" s="10" t="e">
        <f ca="1">BN326+$M$440</f>
        <v>#NUM!</v>
      </c>
      <c r="BT336" t="s">
        <v>478</v>
      </c>
      <c r="BU336" s="10" t="e">
        <f ca="1">BU326+$M$440</f>
        <v>#NUM!</v>
      </c>
    </row>
    <row r="337" spans="1:73" x14ac:dyDescent="0.25">
      <c r="B337" t="s">
        <v>477</v>
      </c>
      <c r="C337" s="10">
        <f ca="1">C336-15</f>
        <v>28.259681484537673</v>
      </c>
      <c r="I337" t="s">
        <v>477</v>
      </c>
      <c r="J337" s="10">
        <f ca="1">J336-15</f>
        <v>27.710574593130836</v>
      </c>
      <c r="P337" t="s">
        <v>477</v>
      </c>
      <c r="Q337" s="10">
        <f ca="1">Q336-15</f>
        <v>27.078442462708686</v>
      </c>
      <c r="W337" t="s">
        <v>477</v>
      </c>
      <c r="X337" s="10">
        <f ca="1">X336-15</f>
        <v>26.423087763667816</v>
      </c>
      <c r="AD337" t="s">
        <v>477</v>
      </c>
      <c r="AE337" s="10">
        <f ca="1">AE336-15</f>
        <v>25.562127601724711</v>
      </c>
      <c r="AK337" t="s">
        <v>477</v>
      </c>
      <c r="AL337" s="10">
        <f ca="1">AL336-15</f>
        <v>24.959085181145021</v>
      </c>
      <c r="AR337" t="s">
        <v>477</v>
      </c>
      <c r="AS337" s="10">
        <f ca="1">AS336-15</f>
        <v>25.746011115034356</v>
      </c>
      <c r="AY337" t="s">
        <v>477</v>
      </c>
      <c r="AZ337" s="10">
        <f ca="1">AZ336-15</f>
        <v>46.626683019199234</v>
      </c>
      <c r="BF337" t="s">
        <v>477</v>
      </c>
      <c r="BG337" s="10">
        <f ca="1">BG336-15</f>
        <v>144.87516774871514</v>
      </c>
      <c r="BM337" t="s">
        <v>477</v>
      </c>
      <c r="BN337" s="10" t="e">
        <f ca="1">BN336-15</f>
        <v>#NUM!</v>
      </c>
      <c r="BT337" t="s">
        <v>477</v>
      </c>
      <c r="BU337" s="10" t="e">
        <f ca="1">BU336-15</f>
        <v>#NUM!</v>
      </c>
    </row>
    <row r="338" spans="1:73" x14ac:dyDescent="0.25">
      <c r="C338" s="10"/>
      <c r="J338" s="10"/>
      <c r="Q338" s="10"/>
      <c r="X338" s="10"/>
      <c r="AE338" s="10"/>
      <c r="AL338" s="10"/>
      <c r="AS338" s="10"/>
      <c r="AZ338" s="10"/>
      <c r="BG338" s="10"/>
      <c r="BN338" s="10"/>
      <c r="BU338" s="10"/>
    </row>
    <row r="339" spans="1:73" x14ac:dyDescent="0.25">
      <c r="B339" t="s">
        <v>397</v>
      </c>
      <c r="C339" s="10"/>
      <c r="I339" t="s">
        <v>397</v>
      </c>
      <c r="J339" s="10"/>
      <c r="P339" t="s">
        <v>397</v>
      </c>
      <c r="Q339" s="10"/>
      <c r="W339" t="s">
        <v>397</v>
      </c>
      <c r="X339" s="10"/>
      <c r="AD339" t="s">
        <v>397</v>
      </c>
      <c r="AE339" s="10"/>
      <c r="AK339" t="s">
        <v>397</v>
      </c>
      <c r="AL339" s="10"/>
      <c r="AR339" t="s">
        <v>397</v>
      </c>
      <c r="AS339" s="10"/>
      <c r="AY339" t="s">
        <v>397</v>
      </c>
      <c r="AZ339" s="10"/>
      <c r="BF339" t="s">
        <v>397</v>
      </c>
      <c r="BG339" s="10"/>
      <c r="BM339" t="s">
        <v>397</v>
      </c>
      <c r="BN339" s="10"/>
      <c r="BT339" t="s">
        <v>397</v>
      </c>
      <c r="BU339" s="10"/>
    </row>
    <row r="340" spans="1:73" x14ac:dyDescent="0.25">
      <c r="B340" t="s">
        <v>398</v>
      </c>
      <c r="C340">
        <f>$U$427</f>
        <v>250</v>
      </c>
      <c r="I340" t="s">
        <v>398</v>
      </c>
      <c r="J340">
        <f>$U$427</f>
        <v>250</v>
      </c>
      <c r="P340" t="s">
        <v>398</v>
      </c>
      <c r="Q340">
        <f>$U$427</f>
        <v>250</v>
      </c>
      <c r="W340" t="s">
        <v>398</v>
      </c>
      <c r="X340">
        <f>$U$427</f>
        <v>250</v>
      </c>
      <c r="AD340" t="s">
        <v>398</v>
      </c>
      <c r="AE340">
        <f>$U$427</f>
        <v>250</v>
      </c>
      <c r="AK340" t="s">
        <v>398</v>
      </c>
      <c r="AL340">
        <f>$U$427</f>
        <v>250</v>
      </c>
      <c r="AR340" t="s">
        <v>398</v>
      </c>
      <c r="AS340">
        <f>$U$427</f>
        <v>250</v>
      </c>
      <c r="AY340" t="s">
        <v>398</v>
      </c>
      <c r="AZ340">
        <f>$U$427</f>
        <v>250</v>
      </c>
      <c r="BF340" t="s">
        <v>398</v>
      </c>
      <c r="BG340">
        <f>$U$427</f>
        <v>250</v>
      </c>
      <c r="BM340" t="s">
        <v>398</v>
      </c>
      <c r="BN340">
        <f>$U$427</f>
        <v>250</v>
      </c>
      <c r="BT340" t="s">
        <v>398</v>
      </c>
      <c r="BU340">
        <f>$U$427</f>
        <v>250</v>
      </c>
    </row>
    <row r="341" spans="1:73" x14ac:dyDescent="0.25">
      <c r="B341" t="s">
        <v>231</v>
      </c>
      <c r="C341">
        <f>$C$14/1000/$U$428</f>
        <v>3.0940800323293973</v>
      </c>
      <c r="I341" t="s">
        <v>231</v>
      </c>
      <c r="J341">
        <f>$C$14/1000/$U$428</f>
        <v>3.0940800323293973</v>
      </c>
      <c r="P341" t="s">
        <v>231</v>
      </c>
      <c r="Q341">
        <f>$C$14/1000/$U$428</f>
        <v>3.0940800323293973</v>
      </c>
      <c r="W341" t="s">
        <v>231</v>
      </c>
      <c r="X341">
        <f>$C$14/1000/$U$428</f>
        <v>3.0940800323293973</v>
      </c>
      <c r="AD341" t="s">
        <v>231</v>
      </c>
      <c r="AE341">
        <f>$C$14/1000/$U$428</f>
        <v>3.0940800323293973</v>
      </c>
      <c r="AK341" t="s">
        <v>231</v>
      </c>
      <c r="AL341">
        <f>$C$14/1000/$U$428</f>
        <v>3.0940800323293973</v>
      </c>
      <c r="AR341" t="s">
        <v>231</v>
      </c>
      <c r="AS341">
        <f>$C$14/1000/$U$428</f>
        <v>3.0940800323293973</v>
      </c>
      <c r="AY341" t="s">
        <v>231</v>
      </c>
      <c r="AZ341">
        <f>$C$14/1000/$U$428</f>
        <v>3.0940800323293973</v>
      </c>
      <c r="BF341" t="s">
        <v>231</v>
      </c>
      <c r="BG341">
        <f>$C$14/1000/$U$428</f>
        <v>3.0940800323293973</v>
      </c>
      <c r="BM341" t="s">
        <v>231</v>
      </c>
      <c r="BN341">
        <f>$C$14/1000/$U$428</f>
        <v>3.0940800323293973</v>
      </c>
      <c r="BT341" t="s">
        <v>231</v>
      </c>
      <c r="BU341">
        <f>$C$14/1000/$U$428</f>
        <v>3.0940800323293973</v>
      </c>
    </row>
    <row r="342" spans="1:73" x14ac:dyDescent="0.25">
      <c r="B342" t="s">
        <v>173</v>
      </c>
      <c r="C342">
        <f>0.5*1.2*C341^2</f>
        <v>5.7439987478756898</v>
      </c>
      <c r="I342" t="s">
        <v>173</v>
      </c>
      <c r="J342">
        <f t="shared" ref="J342" si="440">0.5*1.2*J341^2</f>
        <v>5.7439987478756898</v>
      </c>
      <c r="P342" t="s">
        <v>173</v>
      </c>
      <c r="Q342">
        <f t="shared" ref="Q342" si="441">0.5*1.2*Q341^2</f>
        <v>5.7439987478756898</v>
      </c>
      <c r="W342" t="s">
        <v>173</v>
      </c>
      <c r="X342">
        <f t="shared" ref="X342" si="442">0.5*1.2*X341^2</f>
        <v>5.7439987478756898</v>
      </c>
      <c r="AD342" t="s">
        <v>173</v>
      </c>
      <c r="AE342">
        <f t="shared" ref="AE342" si="443">0.5*1.2*AE341^2</f>
        <v>5.7439987478756898</v>
      </c>
      <c r="AK342" t="s">
        <v>173</v>
      </c>
      <c r="AL342">
        <f t="shared" ref="AL342" si="444">0.5*1.2*AL341^2</f>
        <v>5.7439987478756898</v>
      </c>
      <c r="AR342" t="s">
        <v>173</v>
      </c>
      <c r="AS342">
        <f t="shared" ref="AS342" si="445">0.5*1.2*AS341^2</f>
        <v>5.7439987478756898</v>
      </c>
      <c r="AY342" t="s">
        <v>173</v>
      </c>
      <c r="AZ342">
        <f t="shared" ref="AZ342" si="446">0.5*1.2*AZ341^2</f>
        <v>5.7439987478756898</v>
      </c>
      <c r="BF342" t="s">
        <v>173</v>
      </c>
      <c r="BG342">
        <f t="shared" ref="BG342" si="447">0.5*1.2*BG341^2</f>
        <v>5.7439987478756898</v>
      </c>
      <c r="BM342" t="s">
        <v>173</v>
      </c>
      <c r="BN342">
        <f t="shared" ref="BN342" si="448">0.5*1.2*BN341^2</f>
        <v>5.7439987478756898</v>
      </c>
      <c r="BT342" t="s">
        <v>173</v>
      </c>
      <c r="BU342">
        <f t="shared" ref="BU342" si="449">0.5*1.2*BU341^2</f>
        <v>5.7439987478756898</v>
      </c>
    </row>
    <row r="343" spans="1:73" x14ac:dyDescent="0.25">
      <c r="B343" t="s">
        <v>597</v>
      </c>
      <c r="C343">
        <f>$U$438</f>
        <v>7.5272721957579591</v>
      </c>
      <c r="I343" t="s">
        <v>597</v>
      </c>
      <c r="J343">
        <f>$U$438</f>
        <v>7.5272721957579591</v>
      </c>
      <c r="P343" t="s">
        <v>597</v>
      </c>
      <c r="Q343">
        <f>$U$438</f>
        <v>7.5272721957579591</v>
      </c>
      <c r="W343" t="s">
        <v>597</v>
      </c>
      <c r="X343">
        <f>$U$438</f>
        <v>7.5272721957579591</v>
      </c>
      <c r="AD343" t="s">
        <v>597</v>
      </c>
      <c r="AE343">
        <f>$U$438</f>
        <v>7.5272721957579591</v>
      </c>
      <c r="AK343" t="s">
        <v>597</v>
      </c>
      <c r="AL343">
        <f>$U$438</f>
        <v>7.5272721957579591</v>
      </c>
      <c r="AR343" t="s">
        <v>597</v>
      </c>
      <c r="AS343">
        <f>$U$438</f>
        <v>7.5272721957579591</v>
      </c>
      <c r="AY343" t="s">
        <v>597</v>
      </c>
      <c r="AZ343">
        <f>$U$438</f>
        <v>7.5272721957579591</v>
      </c>
      <c r="BF343" t="s">
        <v>597</v>
      </c>
      <c r="BG343">
        <f>$U$438</f>
        <v>7.5272721957579591</v>
      </c>
      <c r="BM343" t="s">
        <v>597</v>
      </c>
      <c r="BN343">
        <f>$U$438</f>
        <v>7.5272721957579591</v>
      </c>
      <c r="BT343" t="s">
        <v>597</v>
      </c>
      <c r="BU343">
        <f>$U$438</f>
        <v>7.5272721957579591</v>
      </c>
    </row>
    <row r="344" spans="1:73" x14ac:dyDescent="0.25">
      <c r="B344" t="s">
        <v>960</v>
      </c>
      <c r="C344" s="682">
        <f>$C$36+C343</f>
        <v>57.527272195757959</v>
      </c>
      <c r="I344" t="s">
        <v>960</v>
      </c>
      <c r="J344" s="109">
        <f t="shared" ref="J344" si="450">J$317+J343</f>
        <v>47.527272195757959</v>
      </c>
      <c r="P344" t="s">
        <v>960</v>
      </c>
      <c r="Q344" s="109">
        <f t="shared" ref="Q344" si="451">Q$317+Q343</f>
        <v>47.527272195757959</v>
      </c>
      <c r="W344" t="s">
        <v>960</v>
      </c>
      <c r="X344" s="109">
        <f t="shared" ref="X344" si="452">X$317+X343</f>
        <v>47.527272195757959</v>
      </c>
      <c r="AD344" t="s">
        <v>960</v>
      </c>
      <c r="AE344" s="109">
        <f t="shared" ref="AE344" si="453">AE$317+AE343</f>
        <v>47.527272195757959</v>
      </c>
      <c r="AK344" t="s">
        <v>960</v>
      </c>
      <c r="AL344" s="109">
        <f t="shared" ref="AL344" si="454">AL$317+AL343</f>
        <v>47.527272195757959</v>
      </c>
      <c r="AR344" t="s">
        <v>960</v>
      </c>
      <c r="AS344" s="109">
        <f t="shared" ref="AS344" si="455">AS$317+AS343</f>
        <v>49.983605432460685</v>
      </c>
      <c r="AY344" t="s">
        <v>960</v>
      </c>
      <c r="AZ344" s="109">
        <f t="shared" ref="AZ344" si="456">AZ$317+AZ343</f>
        <v>71.612084257647481</v>
      </c>
      <c r="BF344" t="s">
        <v>960</v>
      </c>
      <c r="BG344" s="109">
        <f t="shared" ref="BG344" si="457">BG$317+BG343</f>
        <v>92.438213072383036</v>
      </c>
      <c r="BM344" t="s">
        <v>960</v>
      </c>
      <c r="BN344" s="109">
        <f t="shared" ref="BN344" si="458">BN$317+BN343</f>
        <v>120.1134963555307</v>
      </c>
      <c r="BT344" t="s">
        <v>960</v>
      </c>
      <c r="BU344" s="109">
        <f t="shared" ref="BU344" si="459">BU$317+BU343</f>
        <v>163.90432855404907</v>
      </c>
    </row>
    <row r="345" spans="1:73" x14ac:dyDescent="0.25">
      <c r="B345" t="s">
        <v>599</v>
      </c>
      <c r="C345" s="682">
        <f>C344+C342</f>
        <v>63.271270943633652</v>
      </c>
      <c r="I345" t="s">
        <v>599</v>
      </c>
      <c r="J345" s="109">
        <f t="shared" ref="J345" si="460">J344+J342</f>
        <v>53.271270943633652</v>
      </c>
      <c r="P345" t="s">
        <v>599</v>
      </c>
      <c r="Q345" s="109">
        <f t="shared" ref="Q345" si="461">Q344+Q342</f>
        <v>53.271270943633652</v>
      </c>
      <c r="W345" t="s">
        <v>599</v>
      </c>
      <c r="X345" s="109">
        <f t="shared" ref="X345" si="462">X344+X342</f>
        <v>53.271270943633652</v>
      </c>
      <c r="AD345" t="s">
        <v>599</v>
      </c>
      <c r="AE345" s="109">
        <f t="shared" ref="AE345" si="463">AE344+AE342</f>
        <v>53.271270943633652</v>
      </c>
      <c r="AK345" t="s">
        <v>599</v>
      </c>
      <c r="AL345" s="109">
        <f t="shared" ref="AL345" si="464">AL344+AL342</f>
        <v>53.271270943633652</v>
      </c>
      <c r="AR345" t="s">
        <v>599</v>
      </c>
      <c r="AS345" s="109">
        <f t="shared" ref="AS345" si="465">AS344+AS342</f>
        <v>55.727604180336371</v>
      </c>
      <c r="AY345" t="s">
        <v>599</v>
      </c>
      <c r="AZ345" s="109">
        <f t="shared" ref="AZ345" si="466">AZ344+AZ342</f>
        <v>77.356083005523175</v>
      </c>
      <c r="BF345" t="s">
        <v>599</v>
      </c>
      <c r="BG345" s="109">
        <f t="shared" ref="BG345" si="467">BG344+BG342</f>
        <v>98.182211820258729</v>
      </c>
      <c r="BM345" t="s">
        <v>599</v>
      </c>
      <c r="BN345" s="109">
        <f t="shared" ref="BN345" si="468">BN344+BN342</f>
        <v>125.85749510340639</v>
      </c>
      <c r="BT345" t="s">
        <v>599</v>
      </c>
      <c r="BU345" s="109">
        <f t="shared" ref="BU345" si="469">BU344+BU342</f>
        <v>169.64832730192475</v>
      </c>
    </row>
    <row r="346" spans="1:73" x14ac:dyDescent="0.25">
      <c r="B346" t="s">
        <v>478</v>
      </c>
      <c r="C346" s="683">
        <f ca="1">C326+$U$440</f>
        <v>47.070474465031012</v>
      </c>
      <c r="I346" t="s">
        <v>478</v>
      </c>
      <c r="J346" s="10">
        <f ca="1">J326+$U$440</f>
        <v>46.521367573624175</v>
      </c>
      <c r="P346" t="s">
        <v>478</v>
      </c>
      <c r="Q346" s="10">
        <f ca="1">Q326+$U$440</f>
        <v>45.889235443202026</v>
      </c>
      <c r="W346" t="s">
        <v>478</v>
      </c>
      <c r="X346" s="10">
        <f ca="1">X326+$U$440</f>
        <v>45.233880744161155</v>
      </c>
      <c r="AD346" t="s">
        <v>478</v>
      </c>
      <c r="AE346" s="10">
        <f ca="1">AE326+$U$440</f>
        <v>44.372920582218057</v>
      </c>
      <c r="AK346" t="s">
        <v>478</v>
      </c>
      <c r="AL346" s="10">
        <f ca="1">AL326+$U$440</f>
        <v>43.76987816163836</v>
      </c>
      <c r="AR346" t="s">
        <v>478</v>
      </c>
      <c r="AS346" s="10">
        <f ca="1">AS326+$U$440</f>
        <v>44.556804095527696</v>
      </c>
      <c r="AY346" t="s">
        <v>478</v>
      </c>
      <c r="AZ346" s="10">
        <f ca="1">AZ326+$U$440</f>
        <v>65.43747599969258</v>
      </c>
      <c r="BF346" t="s">
        <v>478</v>
      </c>
      <c r="BG346" s="10">
        <f ca="1">BG326+$U$440</f>
        <v>163.68596072920849</v>
      </c>
      <c r="BM346" t="s">
        <v>478</v>
      </c>
      <c r="BN346" s="10" t="e">
        <f ca="1">BN326+$U$440</f>
        <v>#NUM!</v>
      </c>
      <c r="BT346" t="s">
        <v>478</v>
      </c>
      <c r="BU346" s="10" t="e">
        <f ca="1">BU326+$U$440</f>
        <v>#NUM!</v>
      </c>
    </row>
    <row r="347" spans="1:73" x14ac:dyDescent="0.25">
      <c r="B347" t="s">
        <v>477</v>
      </c>
      <c r="C347" s="10">
        <f ca="1">C346-15</f>
        <v>32.070474465031012</v>
      </c>
      <c r="I347" t="s">
        <v>477</v>
      </c>
      <c r="J347" s="10">
        <f ca="1">J346-15</f>
        <v>31.521367573624175</v>
      </c>
      <c r="P347" t="s">
        <v>477</v>
      </c>
      <c r="Q347" s="10">
        <f ca="1">Q346-15</f>
        <v>30.889235443202026</v>
      </c>
      <c r="W347" t="s">
        <v>477</v>
      </c>
      <c r="X347" s="10">
        <f ca="1">X346-15</f>
        <v>30.233880744161155</v>
      </c>
      <c r="AD347" t="s">
        <v>477</v>
      </c>
      <c r="AE347" s="10">
        <f ca="1">AE346-15</f>
        <v>29.372920582218057</v>
      </c>
      <c r="AK347" t="s">
        <v>477</v>
      </c>
      <c r="AL347" s="10">
        <f ca="1">AL346-15</f>
        <v>28.76987816163836</v>
      </c>
      <c r="AR347" t="s">
        <v>477</v>
      </c>
      <c r="AS347" s="10">
        <f ca="1">AS346-15</f>
        <v>29.556804095527696</v>
      </c>
      <c r="AY347" t="s">
        <v>477</v>
      </c>
      <c r="AZ347" s="10">
        <f ca="1">AZ346-15</f>
        <v>50.43747599969258</v>
      </c>
      <c r="BF347" t="s">
        <v>477</v>
      </c>
      <c r="BG347" s="10">
        <f ca="1">BG346-15</f>
        <v>148.68596072920849</v>
      </c>
      <c r="BM347" t="s">
        <v>477</v>
      </c>
      <c r="BN347" s="10" t="e">
        <f ca="1">BN346-15</f>
        <v>#NUM!</v>
      </c>
      <c r="BT347" t="s">
        <v>477</v>
      </c>
      <c r="BU347" s="10" t="e">
        <f ca="1">BU346-15</f>
        <v>#NUM!</v>
      </c>
    </row>
    <row r="348" spans="1:73" x14ac:dyDescent="0.25">
      <c r="A348" s="212"/>
      <c r="B348" s="212"/>
      <c r="C348" s="681"/>
      <c r="D348" s="212"/>
      <c r="E348" s="684"/>
      <c r="J348" s="10"/>
      <c r="Q348" s="10"/>
      <c r="X348" s="10"/>
      <c r="AE348" s="10"/>
      <c r="AL348" s="10"/>
      <c r="AS348" s="10"/>
      <c r="AZ348" s="10"/>
      <c r="BG348" s="10"/>
      <c r="BN348" s="10"/>
      <c r="BU348" s="10"/>
    </row>
    <row r="349" spans="1:73" x14ac:dyDescent="0.25">
      <c r="A349" s="212"/>
      <c r="B349" t="s">
        <v>961</v>
      </c>
      <c r="C349" s="10" t="s">
        <v>962</v>
      </c>
      <c r="D349" s="684"/>
      <c r="E349" s="684"/>
      <c r="J349" s="10"/>
      <c r="Q349" s="10"/>
      <c r="X349" s="10"/>
      <c r="AE349" s="10"/>
      <c r="AL349" s="10"/>
      <c r="AS349" s="10"/>
      <c r="AZ349" s="10"/>
      <c r="BG349" s="10"/>
      <c r="BN349" s="10"/>
      <c r="BU349" s="10"/>
    </row>
    <row r="350" spans="1:73" x14ac:dyDescent="0.25">
      <c r="A350" s="212"/>
      <c r="B350" s="1" t="s">
        <v>920</v>
      </c>
      <c r="C350" s="10"/>
      <c r="D350" s="684"/>
      <c r="E350" s="684"/>
      <c r="I350" t="s">
        <v>920</v>
      </c>
      <c r="J350" s="10"/>
      <c r="P350" t="s">
        <v>920</v>
      </c>
      <c r="Q350" s="10"/>
      <c r="W350" t="s">
        <v>920</v>
      </c>
      <c r="X350" s="10"/>
      <c r="AD350" t="s">
        <v>920</v>
      </c>
      <c r="AE350" s="10"/>
      <c r="AK350" t="s">
        <v>920</v>
      </c>
      <c r="AL350" s="10"/>
      <c r="AR350" t="s">
        <v>920</v>
      </c>
      <c r="AS350" s="10"/>
      <c r="AY350" t="s">
        <v>920</v>
      </c>
      <c r="AZ350" s="10"/>
      <c r="BF350" t="s">
        <v>920</v>
      </c>
      <c r="BG350" s="10"/>
      <c r="BM350" t="s">
        <v>920</v>
      </c>
      <c r="BN350" s="10"/>
      <c r="BT350" t="s">
        <v>920</v>
      </c>
      <c r="BU350" s="10"/>
    </row>
    <row r="351" spans="1:73" x14ac:dyDescent="0.25">
      <c r="A351" s="212"/>
      <c r="B351" s="1" t="s">
        <v>1026</v>
      </c>
      <c r="C351" s="10"/>
      <c r="D351" s="684"/>
      <c r="E351" s="684"/>
      <c r="J351" s="10"/>
      <c r="Q351" s="10"/>
      <c r="X351" s="10"/>
      <c r="AE351" s="10"/>
      <c r="AL351" s="10"/>
      <c r="AS351" s="10"/>
      <c r="AZ351" s="10"/>
      <c r="BG351" s="10"/>
      <c r="BN351" s="10"/>
      <c r="BU351" s="10"/>
    </row>
    <row r="352" spans="1:73" x14ac:dyDescent="0.25">
      <c r="A352" s="212"/>
      <c r="B352" t="s">
        <v>398</v>
      </c>
      <c r="C352">
        <f>$AC$427</f>
        <v>200</v>
      </c>
      <c r="D352" s="684"/>
      <c r="E352" s="684"/>
      <c r="I352" t="s">
        <v>398</v>
      </c>
      <c r="J352">
        <f t="shared" ref="J352" si="470">$AC$427</f>
        <v>200</v>
      </c>
      <c r="P352" t="s">
        <v>398</v>
      </c>
      <c r="Q352">
        <f t="shared" ref="Q352" si="471">$AC$427</f>
        <v>200</v>
      </c>
      <c r="W352" t="s">
        <v>398</v>
      </c>
      <c r="X352">
        <f t="shared" ref="X352" si="472">$AC$427</f>
        <v>200</v>
      </c>
      <c r="AD352" t="s">
        <v>398</v>
      </c>
      <c r="AE352">
        <f t="shared" ref="AE352" si="473">$AC$427</f>
        <v>200</v>
      </c>
      <c r="AK352" t="s">
        <v>398</v>
      </c>
      <c r="AL352">
        <f t="shared" ref="AL352" si="474">$AC$427</f>
        <v>200</v>
      </c>
      <c r="AR352" t="s">
        <v>398</v>
      </c>
      <c r="AS352">
        <f t="shared" ref="AS352" si="475">$AC$427</f>
        <v>200</v>
      </c>
      <c r="AY352" t="s">
        <v>398</v>
      </c>
      <c r="AZ352">
        <f t="shared" ref="AZ352" si="476">$AC$427</f>
        <v>200</v>
      </c>
      <c r="BF352" t="s">
        <v>398</v>
      </c>
      <c r="BG352">
        <f t="shared" ref="BG352" si="477">$AC$427</f>
        <v>200</v>
      </c>
      <c r="BM352" t="s">
        <v>398</v>
      </c>
      <c r="BN352">
        <f t="shared" ref="BN352" si="478">$AC$427</f>
        <v>200</v>
      </c>
      <c r="BT352" t="s">
        <v>398</v>
      </c>
      <c r="BU352">
        <f t="shared" ref="BU352" si="479">$AC$427</f>
        <v>200</v>
      </c>
    </row>
    <row r="353" spans="1:73" x14ac:dyDescent="0.25">
      <c r="A353" s="212"/>
      <c r="B353" t="s">
        <v>231</v>
      </c>
      <c r="C353">
        <f>$C$14/1000/$AC$428</f>
        <v>3.2151701844275715</v>
      </c>
      <c r="D353" s="684"/>
      <c r="E353" s="684"/>
      <c r="I353" t="s">
        <v>231</v>
      </c>
      <c r="J353">
        <f>$C$14/1000/$AC$428</f>
        <v>3.2151701844275715</v>
      </c>
      <c r="P353" t="s">
        <v>231</v>
      </c>
      <c r="Q353">
        <f>$C$14/1000/$AC$428</f>
        <v>3.2151701844275715</v>
      </c>
      <c r="W353" t="s">
        <v>231</v>
      </c>
      <c r="X353">
        <f>$C$14/1000/$AC$428</f>
        <v>3.2151701844275715</v>
      </c>
      <c r="AD353" t="s">
        <v>231</v>
      </c>
      <c r="AE353">
        <f>$C$14/1000/$AC$428</f>
        <v>3.2151701844275715</v>
      </c>
      <c r="AK353" t="s">
        <v>231</v>
      </c>
      <c r="AL353">
        <f>$C$14/1000/$AC$428</f>
        <v>3.2151701844275715</v>
      </c>
      <c r="AR353" t="s">
        <v>231</v>
      </c>
      <c r="AS353">
        <f>$C$14/1000/$AC$428</f>
        <v>3.2151701844275715</v>
      </c>
      <c r="AY353" t="s">
        <v>231</v>
      </c>
      <c r="AZ353">
        <f>$C$14/1000/$AC$428</f>
        <v>3.2151701844275715</v>
      </c>
      <c r="BF353" t="s">
        <v>231</v>
      </c>
      <c r="BG353">
        <f>$C$14/1000/$AC$428</f>
        <v>3.2151701844275715</v>
      </c>
      <c r="BM353" t="s">
        <v>231</v>
      </c>
      <c r="BN353">
        <f>$C$14/1000/$AC$428</f>
        <v>3.2151701844275715</v>
      </c>
      <c r="BT353" t="s">
        <v>231</v>
      </c>
      <c r="BU353">
        <f>$C$14/1000/$AC$428</f>
        <v>3.2151701844275715</v>
      </c>
    </row>
    <row r="354" spans="1:73" x14ac:dyDescent="0.25">
      <c r="A354" s="212"/>
      <c r="B354" t="s">
        <v>173</v>
      </c>
      <c r="C354">
        <f>0.5*1.2*C353^2</f>
        <v>6.2023915888992143</v>
      </c>
      <c r="D354" s="684"/>
      <c r="E354" s="684"/>
      <c r="I354" t="s">
        <v>173</v>
      </c>
      <c r="J354">
        <f t="shared" ref="J354" si="480">0.5*1.2*J353^2</f>
        <v>6.2023915888992143</v>
      </c>
      <c r="P354" t="s">
        <v>173</v>
      </c>
      <c r="Q354">
        <f t="shared" ref="Q354" si="481">0.5*1.2*Q353^2</f>
        <v>6.2023915888992143</v>
      </c>
      <c r="W354" t="s">
        <v>173</v>
      </c>
      <c r="X354">
        <f t="shared" ref="X354" si="482">0.5*1.2*X353^2</f>
        <v>6.2023915888992143</v>
      </c>
      <c r="AD354" t="s">
        <v>173</v>
      </c>
      <c r="AE354">
        <f t="shared" ref="AE354" si="483">0.5*1.2*AE353^2</f>
        <v>6.2023915888992143</v>
      </c>
      <c r="AK354" t="s">
        <v>173</v>
      </c>
      <c r="AL354">
        <f t="shared" ref="AL354" si="484">0.5*1.2*AL353^2</f>
        <v>6.2023915888992143</v>
      </c>
      <c r="AR354" t="s">
        <v>173</v>
      </c>
      <c r="AS354">
        <f t="shared" ref="AS354" si="485">0.5*1.2*AS353^2</f>
        <v>6.2023915888992143</v>
      </c>
      <c r="AY354" t="s">
        <v>173</v>
      </c>
      <c r="AZ354">
        <f t="shared" ref="AZ354" si="486">0.5*1.2*AZ353^2</f>
        <v>6.2023915888992143</v>
      </c>
      <c r="BF354" t="s">
        <v>173</v>
      </c>
      <c r="BG354">
        <f t="shared" ref="BG354" si="487">0.5*1.2*BG353^2</f>
        <v>6.2023915888992143</v>
      </c>
      <c r="BM354" t="s">
        <v>173</v>
      </c>
      <c r="BN354">
        <f t="shared" ref="BN354" si="488">0.5*1.2*BN353^2</f>
        <v>6.2023915888992143</v>
      </c>
      <c r="BT354" t="s">
        <v>173</v>
      </c>
      <c r="BU354">
        <f t="shared" ref="BU354" si="489">0.5*1.2*BU353^2</f>
        <v>6.2023915888992143</v>
      </c>
    </row>
    <row r="355" spans="1:73" x14ac:dyDescent="0.25">
      <c r="A355" s="212"/>
      <c r="B355" t="s">
        <v>597</v>
      </c>
      <c r="C355">
        <f>$AC$438</f>
        <v>5.1067506641391835</v>
      </c>
      <c r="D355" s="684"/>
      <c r="E355" s="684"/>
      <c r="I355" t="s">
        <v>597</v>
      </c>
      <c r="J355">
        <f t="shared" ref="J355" si="490">$AC$438</f>
        <v>5.1067506641391835</v>
      </c>
      <c r="P355" t="s">
        <v>597</v>
      </c>
      <c r="Q355">
        <f t="shared" ref="Q355" si="491">$AC$438</f>
        <v>5.1067506641391835</v>
      </c>
      <c r="W355" t="s">
        <v>597</v>
      </c>
      <c r="X355">
        <f t="shared" ref="X355" si="492">$AC$438</f>
        <v>5.1067506641391835</v>
      </c>
      <c r="AD355" t="s">
        <v>597</v>
      </c>
      <c r="AE355">
        <f t="shared" ref="AE355" si="493">$AC$438</f>
        <v>5.1067506641391835</v>
      </c>
      <c r="AK355" t="s">
        <v>597</v>
      </c>
      <c r="AL355">
        <f t="shared" ref="AL355" si="494">$AC$438</f>
        <v>5.1067506641391835</v>
      </c>
      <c r="AR355" t="s">
        <v>597</v>
      </c>
      <c r="AS355">
        <f t="shared" ref="AS355" si="495">$AC$438</f>
        <v>5.1067506641391835</v>
      </c>
      <c r="AY355" t="s">
        <v>597</v>
      </c>
      <c r="AZ355">
        <f t="shared" ref="AZ355" si="496">$AC$438</f>
        <v>5.1067506641391835</v>
      </c>
      <c r="BF355" t="s">
        <v>597</v>
      </c>
      <c r="BG355">
        <f t="shared" ref="BG355" si="497">$AC$438</f>
        <v>5.1067506641391835</v>
      </c>
      <c r="BM355" t="s">
        <v>597</v>
      </c>
      <c r="BN355">
        <f t="shared" ref="BN355" si="498">$AC$438</f>
        <v>5.1067506641391835</v>
      </c>
      <c r="BT355" t="s">
        <v>597</v>
      </c>
      <c r="BU355">
        <f t="shared" ref="BU355" si="499">$AC$438</f>
        <v>5.1067506641391835</v>
      </c>
    </row>
    <row r="356" spans="1:73" x14ac:dyDescent="0.25">
      <c r="A356" s="212"/>
      <c r="B356" t="s">
        <v>960</v>
      </c>
      <c r="C356" s="109">
        <f>C$317+C355</f>
        <v>45.106750664139184</v>
      </c>
      <c r="D356" s="684"/>
      <c r="E356" s="684"/>
      <c r="I356" t="s">
        <v>960</v>
      </c>
      <c r="J356" s="109">
        <f>J317+J355</f>
        <v>45.106750664139184</v>
      </c>
      <c r="P356" t="s">
        <v>960</v>
      </c>
      <c r="Q356" s="109">
        <f>Q317+Q355</f>
        <v>45.106750664139184</v>
      </c>
      <c r="W356" t="s">
        <v>960</v>
      </c>
      <c r="X356" s="109">
        <f>X317+X355</f>
        <v>45.106750664139184</v>
      </c>
      <c r="AD356" t="s">
        <v>960</v>
      </c>
      <c r="AE356" s="109">
        <f>AE317+AE355</f>
        <v>45.106750664139184</v>
      </c>
      <c r="AK356" t="s">
        <v>960</v>
      </c>
      <c r="AL356" s="109">
        <f>AL317+AL355</f>
        <v>45.106750664139184</v>
      </c>
      <c r="AR356" t="s">
        <v>960</v>
      </c>
      <c r="AS356" s="109">
        <f>AS317+AS355</f>
        <v>47.56308390084191</v>
      </c>
      <c r="AY356" t="s">
        <v>960</v>
      </c>
      <c r="AZ356" s="109">
        <f>AZ317+AZ355</f>
        <v>69.191562726028707</v>
      </c>
      <c r="BF356" t="s">
        <v>960</v>
      </c>
      <c r="BG356" s="109">
        <f>BG317+BG355</f>
        <v>90.017691540764261</v>
      </c>
      <c r="BM356" t="s">
        <v>960</v>
      </c>
      <c r="BN356" s="109">
        <f>BN317+BN355</f>
        <v>117.69297482391192</v>
      </c>
      <c r="BT356" t="s">
        <v>960</v>
      </c>
      <c r="BU356" s="109">
        <f>BU317+BU355</f>
        <v>161.48380702243031</v>
      </c>
    </row>
    <row r="357" spans="1:73" x14ac:dyDescent="0.25">
      <c r="A357" s="212"/>
      <c r="B357" t="s">
        <v>600</v>
      </c>
      <c r="C357" s="109">
        <f>MAX(C356,$C$35)</f>
        <v>45.106750664139184</v>
      </c>
      <c r="D357" s="684"/>
      <c r="E357" s="684"/>
      <c r="I357" t="s">
        <v>600</v>
      </c>
      <c r="J357" s="109">
        <f t="shared" ref="J357" si="500">MAX(J356,$C$16)</f>
        <v>45.106750664139184</v>
      </c>
      <c r="P357" t="s">
        <v>600</v>
      </c>
      <c r="Q357" s="109">
        <f t="shared" ref="Q357" si="501">MAX(Q356,$C$16)</f>
        <v>45.106750664139184</v>
      </c>
      <c r="W357" t="s">
        <v>600</v>
      </c>
      <c r="X357" s="109">
        <f t="shared" ref="X357" si="502">MAX(X356,$C$16)</f>
        <v>45.106750664139184</v>
      </c>
      <c r="AD357" t="s">
        <v>600</v>
      </c>
      <c r="AE357" s="109">
        <f t="shared" ref="AE357" si="503">MAX(AE356,$C$16)</f>
        <v>45.106750664139184</v>
      </c>
      <c r="AK357" t="s">
        <v>600</v>
      </c>
      <c r="AL357" s="109">
        <f t="shared" ref="AL357" si="504">MAX(AL356,$C$16)</f>
        <v>45.106750664139184</v>
      </c>
      <c r="AR357" t="s">
        <v>600</v>
      </c>
      <c r="AS357" s="109">
        <f t="shared" ref="AS357" si="505">MAX(AS356,$C$16)</f>
        <v>47.56308390084191</v>
      </c>
      <c r="AY357" t="s">
        <v>600</v>
      </c>
      <c r="AZ357" s="109">
        <f t="shared" ref="AZ357" si="506">MAX(AZ356,$C$16)</f>
        <v>69.191562726028707</v>
      </c>
      <c r="BF357" t="s">
        <v>600</v>
      </c>
      <c r="BG357" s="109">
        <f t="shared" ref="BG357" si="507">MAX(BG356,$C$16)</f>
        <v>90.017691540764261</v>
      </c>
      <c r="BM357" t="s">
        <v>600</v>
      </c>
      <c r="BN357" s="109">
        <f t="shared" ref="BN357" si="508">MAX(BN356,$C$16)</f>
        <v>117.69297482391192</v>
      </c>
      <c r="BT357" t="s">
        <v>600</v>
      </c>
      <c r="BU357" s="109">
        <f t="shared" ref="BU357" si="509">MAX(BU356,$C$16)</f>
        <v>161.48380702243031</v>
      </c>
    </row>
    <row r="358" spans="1:73" x14ac:dyDescent="0.25">
      <c r="A358" s="212"/>
      <c r="B358" t="s">
        <v>599</v>
      </c>
      <c r="C358" s="109">
        <f>C357+C354</f>
        <v>51.309142253038402</v>
      </c>
      <c r="D358" s="684"/>
      <c r="E358" s="684"/>
      <c r="I358" t="s">
        <v>599</v>
      </c>
      <c r="J358" s="109">
        <f t="shared" ref="J358" si="510">J357+J354</f>
        <v>51.309142253038402</v>
      </c>
      <c r="P358" t="s">
        <v>599</v>
      </c>
      <c r="Q358" s="109">
        <f t="shared" ref="Q358" si="511">Q357+Q354</f>
        <v>51.309142253038402</v>
      </c>
      <c r="W358" t="s">
        <v>599</v>
      </c>
      <c r="X358" s="109">
        <f t="shared" ref="X358" si="512">X357+X354</f>
        <v>51.309142253038402</v>
      </c>
      <c r="AD358" t="s">
        <v>599</v>
      </c>
      <c r="AE358" s="109">
        <f t="shared" ref="AE358" si="513">AE357+AE354</f>
        <v>51.309142253038402</v>
      </c>
      <c r="AK358" t="s">
        <v>599</v>
      </c>
      <c r="AL358" s="109">
        <f t="shared" ref="AL358" si="514">AL357+AL354</f>
        <v>51.309142253038402</v>
      </c>
      <c r="AR358" t="s">
        <v>599</v>
      </c>
      <c r="AS358" s="109">
        <f t="shared" ref="AS358" si="515">AS357+AS354</f>
        <v>53.765475489741121</v>
      </c>
      <c r="AY358" t="s">
        <v>599</v>
      </c>
      <c r="AZ358" s="109">
        <f t="shared" ref="AZ358" si="516">AZ357+AZ354</f>
        <v>75.393954314927925</v>
      </c>
      <c r="BF358" t="s">
        <v>599</v>
      </c>
      <c r="BG358" s="109">
        <f t="shared" ref="BG358" si="517">BG357+BG354</f>
        <v>96.220083129663479</v>
      </c>
      <c r="BM358" t="s">
        <v>599</v>
      </c>
      <c r="BN358" s="109">
        <f t="shared" ref="BN358" si="518">BN357+BN354</f>
        <v>123.89536641281114</v>
      </c>
      <c r="BT358" t="s">
        <v>599</v>
      </c>
      <c r="BU358" s="109">
        <f t="shared" ref="BU358" si="519">BU357+BU354</f>
        <v>167.68619861132953</v>
      </c>
    </row>
    <row r="359" spans="1:73" x14ac:dyDescent="0.25">
      <c r="A359" s="212"/>
      <c r="B359" t="s">
        <v>478</v>
      </c>
      <c r="C359" s="10">
        <f ca="1">C326+$AC$440</f>
        <v>43.995190803338723</v>
      </c>
      <c r="D359" s="684"/>
      <c r="E359" s="684"/>
      <c r="I359" t="s">
        <v>478</v>
      </c>
      <c r="J359" s="10">
        <f ca="1">J326+$AC$440</f>
        <v>43.446083911931886</v>
      </c>
      <c r="P359" t="s">
        <v>478</v>
      </c>
      <c r="Q359" s="10">
        <f ca="1">Q326+$AC$440</f>
        <v>42.813951781509736</v>
      </c>
      <c r="W359" t="s">
        <v>478</v>
      </c>
      <c r="X359" s="10">
        <f ca="1">X326+$AC$440</f>
        <v>42.158597082468866</v>
      </c>
      <c r="AD359" t="s">
        <v>478</v>
      </c>
      <c r="AE359" s="10">
        <f ca="1">AE326+$AC$440</f>
        <v>41.297636920525761</v>
      </c>
      <c r="AK359" t="s">
        <v>478</v>
      </c>
      <c r="AL359" s="10">
        <f ca="1">AL326+$AC$440</f>
        <v>40.694594499946071</v>
      </c>
      <c r="AR359" t="s">
        <v>478</v>
      </c>
      <c r="AS359" s="10">
        <f ca="1">AS326+$AC$440</f>
        <v>41.481520433835406</v>
      </c>
      <c r="AY359" t="s">
        <v>478</v>
      </c>
      <c r="AZ359" s="10">
        <f ca="1">AZ326+$AC$440</f>
        <v>62.362192338000284</v>
      </c>
      <c r="BF359" t="s">
        <v>478</v>
      </c>
      <c r="BG359" s="10">
        <f ca="1">BG326+$AC$440</f>
        <v>160.61067706751621</v>
      </c>
      <c r="BM359" t="s">
        <v>478</v>
      </c>
      <c r="BN359" s="10" t="e">
        <f ca="1">BN326+$AC$440</f>
        <v>#NUM!</v>
      </c>
      <c r="BT359" t="s">
        <v>478</v>
      </c>
      <c r="BU359" s="10" t="e">
        <f ca="1">BU326+$AC$440</f>
        <v>#NUM!</v>
      </c>
    </row>
    <row r="360" spans="1:73" x14ac:dyDescent="0.25">
      <c r="A360" s="212"/>
      <c r="B360" t="s">
        <v>477</v>
      </c>
      <c r="C360" s="10">
        <f ca="1">C359-15</f>
        <v>28.995190803338723</v>
      </c>
      <c r="D360" s="684"/>
      <c r="E360" s="684"/>
      <c r="I360" t="s">
        <v>477</v>
      </c>
      <c r="J360" s="10">
        <f t="shared" ref="J360" ca="1" si="520">J359-15</f>
        <v>28.446083911931886</v>
      </c>
      <c r="P360" t="s">
        <v>477</v>
      </c>
      <c r="Q360" s="10">
        <f t="shared" ref="Q360" ca="1" si="521">Q359-15</f>
        <v>27.813951781509736</v>
      </c>
      <c r="W360" t="s">
        <v>477</v>
      </c>
      <c r="X360" s="10">
        <f t="shared" ref="X360" ca="1" si="522">X359-15</f>
        <v>27.158597082468866</v>
      </c>
      <c r="AD360" t="s">
        <v>477</v>
      </c>
      <c r="AE360" s="10">
        <f t="shared" ref="AE360" ca="1" si="523">AE359-15</f>
        <v>26.297636920525761</v>
      </c>
      <c r="AK360" t="s">
        <v>477</v>
      </c>
      <c r="AL360" s="10">
        <f t="shared" ref="AL360" ca="1" si="524">AL359-15</f>
        <v>25.694594499946071</v>
      </c>
      <c r="AR360" t="s">
        <v>477</v>
      </c>
      <c r="AS360" s="10">
        <f t="shared" ref="AS360" ca="1" si="525">AS359-15</f>
        <v>26.481520433835406</v>
      </c>
      <c r="AY360" t="s">
        <v>477</v>
      </c>
      <c r="AZ360" s="10">
        <f t="shared" ref="AZ360" ca="1" si="526">AZ359-15</f>
        <v>47.362192338000284</v>
      </c>
      <c r="BF360" t="s">
        <v>477</v>
      </c>
      <c r="BG360" s="10">
        <f t="shared" ref="BG360" ca="1" si="527">BG359-15</f>
        <v>145.61067706751621</v>
      </c>
      <c r="BM360" t="s">
        <v>477</v>
      </c>
      <c r="BN360" s="10" t="e">
        <f t="shared" ref="BN360" ca="1" si="528">BN359-15</f>
        <v>#NUM!</v>
      </c>
      <c r="BT360" t="s">
        <v>477</v>
      </c>
      <c r="BU360" s="10" t="e">
        <f t="shared" ref="BU360" ca="1" si="529">BU359-15</f>
        <v>#NUM!</v>
      </c>
    </row>
    <row r="361" spans="1:73" x14ac:dyDescent="0.25">
      <c r="A361" s="212"/>
      <c r="B361" t="s">
        <v>1032</v>
      </c>
      <c r="C361" s="10">
        <f ca="1">C359+C$381</f>
        <v>45.439624263695883</v>
      </c>
      <c r="D361" s="684"/>
      <c r="E361" s="684"/>
      <c r="J361" s="10"/>
      <c r="Q361" s="10"/>
      <c r="X361" s="10"/>
      <c r="AE361" s="10"/>
      <c r="AL361" s="10"/>
      <c r="AS361" s="10"/>
      <c r="AZ361" s="10"/>
      <c r="BG361" s="10"/>
      <c r="BN361" s="10"/>
      <c r="BU361" s="10"/>
    </row>
    <row r="362" spans="1:73" x14ac:dyDescent="0.25">
      <c r="A362" s="212"/>
      <c r="B362" t="s">
        <v>1033</v>
      </c>
      <c r="C362" s="10">
        <f ca="1">C360+C$381</f>
        <v>30.43962426369588</v>
      </c>
      <c r="D362" s="684"/>
      <c r="E362" s="684"/>
      <c r="J362" s="10"/>
      <c r="Q362" s="10"/>
      <c r="X362" s="10"/>
      <c r="AE362" s="10"/>
      <c r="AL362" s="10"/>
      <c r="AS362" s="10"/>
      <c r="AZ362" s="10"/>
      <c r="BG362" s="10"/>
      <c r="BN362" s="10"/>
      <c r="BU362" s="10"/>
    </row>
    <row r="363" spans="1:73" x14ac:dyDescent="0.25">
      <c r="A363" s="212"/>
      <c r="C363" s="10"/>
      <c r="D363" s="684"/>
      <c r="E363" s="684"/>
      <c r="J363" s="10"/>
      <c r="Q363" s="10"/>
      <c r="X363" s="10"/>
      <c r="AE363" s="10"/>
      <c r="AL363" s="10"/>
      <c r="AS363" s="10"/>
      <c r="AZ363" s="10"/>
      <c r="BG363" s="10"/>
      <c r="BN363" s="10"/>
      <c r="BU363" s="10"/>
    </row>
    <row r="364" spans="1:73" x14ac:dyDescent="0.25">
      <c r="A364" s="212"/>
      <c r="B364" t="s">
        <v>921</v>
      </c>
      <c r="C364" s="10"/>
      <c r="D364" s="684"/>
      <c r="E364" s="684"/>
      <c r="I364" t="s">
        <v>921</v>
      </c>
      <c r="J364" s="10"/>
      <c r="P364" t="s">
        <v>921</v>
      </c>
      <c r="Q364" s="10"/>
      <c r="W364" t="s">
        <v>921</v>
      </c>
      <c r="X364" s="10"/>
      <c r="AD364" t="s">
        <v>921</v>
      </c>
      <c r="AE364" s="10"/>
      <c r="AK364" t="s">
        <v>921</v>
      </c>
      <c r="AL364" s="10"/>
      <c r="AR364" t="s">
        <v>921</v>
      </c>
      <c r="AS364" s="10"/>
      <c r="AY364" t="s">
        <v>921</v>
      </c>
      <c r="AZ364" s="10"/>
      <c r="BF364" t="s">
        <v>921</v>
      </c>
      <c r="BG364" s="10"/>
      <c r="BM364" t="s">
        <v>921</v>
      </c>
      <c r="BN364" s="10"/>
      <c r="BT364" t="s">
        <v>921</v>
      </c>
      <c r="BU364" s="10"/>
    </row>
    <row r="365" spans="1:73" x14ac:dyDescent="0.25">
      <c r="A365" s="212"/>
      <c r="B365" t="s">
        <v>398</v>
      </c>
      <c r="C365" t="b">
        <f>IF($AI$429&gt;4.2,FALSE,$AI$427)</f>
        <v>0</v>
      </c>
      <c r="D365" s="684"/>
      <c r="E365" s="684"/>
      <c r="I365" t="s">
        <v>398</v>
      </c>
      <c r="J365" t="b">
        <f t="shared" ref="J365" si="530">IF($AI$429&gt;4.2,FALSE,$AI$427)</f>
        <v>0</v>
      </c>
      <c r="P365" t="s">
        <v>398</v>
      </c>
      <c r="Q365" t="b">
        <f t="shared" ref="Q365" si="531">IF($AI$429&gt;4.2,FALSE,$AI$427)</f>
        <v>0</v>
      </c>
      <c r="W365" t="s">
        <v>398</v>
      </c>
      <c r="X365" t="b">
        <f t="shared" ref="X365" si="532">IF($AI$429&gt;4.2,FALSE,$AI$427)</f>
        <v>0</v>
      </c>
      <c r="AD365" t="s">
        <v>398</v>
      </c>
      <c r="AE365" t="b">
        <f t="shared" ref="AE365" si="533">IF($AI$429&gt;4.2,FALSE,$AI$427)</f>
        <v>0</v>
      </c>
      <c r="AK365" t="s">
        <v>398</v>
      </c>
      <c r="AL365" t="b">
        <f t="shared" ref="AL365" si="534">IF($AI$429&gt;4.2,FALSE,$AI$427)</f>
        <v>0</v>
      </c>
      <c r="AR365" t="s">
        <v>398</v>
      </c>
      <c r="AS365" t="b">
        <f t="shared" ref="AS365" si="535">IF($AI$429&gt;4.2,FALSE,$AI$427)</f>
        <v>0</v>
      </c>
      <c r="AY365" t="s">
        <v>398</v>
      </c>
      <c r="AZ365" t="b">
        <f t="shared" ref="AZ365" si="536">IF($AI$429&gt;4.2,FALSE,$AI$427)</f>
        <v>0</v>
      </c>
      <c r="BF365" t="s">
        <v>398</v>
      </c>
      <c r="BG365" t="b">
        <f t="shared" ref="BG365" si="537">IF($AI$429&gt;4.2,FALSE,$AI$427)</f>
        <v>0</v>
      </c>
      <c r="BM365" t="s">
        <v>398</v>
      </c>
      <c r="BN365" t="b">
        <f t="shared" ref="BN365" si="538">IF($AI$429&gt;4.2,FALSE,$AI$427)</f>
        <v>0</v>
      </c>
      <c r="BT365" t="s">
        <v>398</v>
      </c>
      <c r="BU365" t="b">
        <f t="shared" ref="BU365" si="539">IF($AI$429&gt;4.2,FALSE,$AI$427)</f>
        <v>0</v>
      </c>
    </row>
    <row r="366" spans="1:73" x14ac:dyDescent="0.25">
      <c r="A366" s="212"/>
      <c r="B366" t="s">
        <v>231</v>
      </c>
      <c r="C366">
        <f>$C$14/1000/$AI$428</f>
        <v>5.7350549287652042</v>
      </c>
      <c r="D366" s="684"/>
      <c r="E366" s="684"/>
      <c r="I366" t="s">
        <v>231</v>
      </c>
      <c r="J366">
        <f>$C$14/1000/$AI$428</f>
        <v>5.7350549287652042</v>
      </c>
      <c r="P366" t="s">
        <v>231</v>
      </c>
      <c r="Q366">
        <f>$C$14/1000/$AI$428</f>
        <v>5.7350549287652042</v>
      </c>
      <c r="W366" t="s">
        <v>231</v>
      </c>
      <c r="X366">
        <f>$C$14/1000/$AI$428</f>
        <v>5.7350549287652042</v>
      </c>
      <c r="AD366" t="s">
        <v>231</v>
      </c>
      <c r="AE366">
        <f>$C$14/1000/$AI$428</f>
        <v>5.7350549287652042</v>
      </c>
      <c r="AK366" t="s">
        <v>231</v>
      </c>
      <c r="AL366">
        <f>$C$14/1000/$AI$428</f>
        <v>5.7350549287652042</v>
      </c>
      <c r="AR366" t="s">
        <v>231</v>
      </c>
      <c r="AS366">
        <f>$C$14/1000/$AI$428</f>
        <v>5.7350549287652042</v>
      </c>
      <c r="AY366" t="s">
        <v>231</v>
      </c>
      <c r="AZ366">
        <f>$C$14/1000/$AI$428</f>
        <v>5.7350549287652042</v>
      </c>
      <c r="BF366" t="s">
        <v>231</v>
      </c>
      <c r="BG366">
        <f>$C$14/1000/$AI$428</f>
        <v>5.7350549287652042</v>
      </c>
      <c r="BM366" t="s">
        <v>231</v>
      </c>
      <c r="BN366">
        <f>$C$14/1000/$AI$428</f>
        <v>5.7350549287652042</v>
      </c>
      <c r="BT366" t="s">
        <v>231</v>
      </c>
      <c r="BU366">
        <f>$C$14/1000/$AI$428</f>
        <v>5.7350549287652042</v>
      </c>
    </row>
    <row r="367" spans="1:73" x14ac:dyDescent="0.25">
      <c r="A367" s="212"/>
      <c r="B367" t="s">
        <v>173</v>
      </c>
      <c r="C367">
        <f>0.5*1.2*C366^2</f>
        <v>19.734513021572436</v>
      </c>
      <c r="D367" s="684"/>
      <c r="E367" s="684"/>
      <c r="I367" t="s">
        <v>173</v>
      </c>
      <c r="J367">
        <f t="shared" ref="J367" si="540">0.5*1.2*J366^2</f>
        <v>19.734513021572436</v>
      </c>
      <c r="P367" t="s">
        <v>173</v>
      </c>
      <c r="Q367">
        <f t="shared" ref="Q367" si="541">0.5*1.2*Q366^2</f>
        <v>19.734513021572436</v>
      </c>
      <c r="W367" t="s">
        <v>173</v>
      </c>
      <c r="X367">
        <f t="shared" ref="X367" si="542">0.5*1.2*X366^2</f>
        <v>19.734513021572436</v>
      </c>
      <c r="AD367" t="s">
        <v>173</v>
      </c>
      <c r="AE367">
        <f t="shared" ref="AE367" si="543">0.5*1.2*AE366^2</f>
        <v>19.734513021572436</v>
      </c>
      <c r="AK367" t="s">
        <v>173</v>
      </c>
      <c r="AL367">
        <f t="shared" ref="AL367" si="544">0.5*1.2*AL366^2</f>
        <v>19.734513021572436</v>
      </c>
      <c r="AR367" t="s">
        <v>173</v>
      </c>
      <c r="AS367">
        <f t="shared" ref="AS367" si="545">0.5*1.2*AS366^2</f>
        <v>19.734513021572436</v>
      </c>
      <c r="AY367" t="s">
        <v>173</v>
      </c>
      <c r="AZ367">
        <f t="shared" ref="AZ367" si="546">0.5*1.2*AZ366^2</f>
        <v>19.734513021572436</v>
      </c>
      <c r="BF367" t="s">
        <v>173</v>
      </c>
      <c r="BG367">
        <f t="shared" ref="BG367" si="547">0.5*1.2*BG366^2</f>
        <v>19.734513021572436</v>
      </c>
      <c r="BM367" t="s">
        <v>173</v>
      </c>
      <c r="BN367">
        <f t="shared" ref="BN367" si="548">0.5*1.2*BN366^2</f>
        <v>19.734513021572436</v>
      </c>
      <c r="BT367" t="s">
        <v>173</v>
      </c>
      <c r="BU367">
        <f t="shared" ref="BU367" si="549">0.5*1.2*BU366^2</f>
        <v>19.734513021572436</v>
      </c>
    </row>
    <row r="368" spans="1:73" x14ac:dyDescent="0.25">
      <c r="A368" s="212"/>
      <c r="B368" t="s">
        <v>597</v>
      </c>
      <c r="C368">
        <f>$AI$438</f>
        <v>12.421988751491574</v>
      </c>
      <c r="D368" s="684"/>
      <c r="E368" s="684"/>
      <c r="I368" t="s">
        <v>597</v>
      </c>
      <c r="J368">
        <f t="shared" ref="J368" si="550">$AI$438</f>
        <v>12.421988751491574</v>
      </c>
      <c r="P368" t="s">
        <v>597</v>
      </c>
      <c r="Q368">
        <f t="shared" ref="Q368" si="551">$AI$438</f>
        <v>12.421988751491574</v>
      </c>
      <c r="W368" t="s">
        <v>597</v>
      </c>
      <c r="X368">
        <f t="shared" ref="X368" si="552">$AI$438</f>
        <v>12.421988751491574</v>
      </c>
      <c r="AD368" t="s">
        <v>597</v>
      </c>
      <c r="AE368">
        <f t="shared" ref="AE368" si="553">$AI$438</f>
        <v>12.421988751491574</v>
      </c>
      <c r="AK368" t="s">
        <v>597</v>
      </c>
      <c r="AL368">
        <f t="shared" ref="AL368" si="554">$AI$438</f>
        <v>12.421988751491574</v>
      </c>
      <c r="AR368" t="s">
        <v>597</v>
      </c>
      <c r="AS368">
        <f t="shared" ref="AS368" si="555">$AI$438</f>
        <v>12.421988751491574</v>
      </c>
      <c r="AY368" t="s">
        <v>597</v>
      </c>
      <c r="AZ368">
        <f t="shared" ref="AZ368" si="556">$AI$438</f>
        <v>12.421988751491574</v>
      </c>
      <c r="BF368" t="s">
        <v>597</v>
      </c>
      <c r="BG368">
        <f t="shared" ref="BG368" si="557">$AI$438</f>
        <v>12.421988751491574</v>
      </c>
      <c r="BM368" t="s">
        <v>597</v>
      </c>
      <c r="BN368">
        <f t="shared" ref="BN368" si="558">$AI$438</f>
        <v>12.421988751491574</v>
      </c>
      <c r="BT368" t="s">
        <v>597</v>
      </c>
      <c r="BU368">
        <f t="shared" ref="BU368" si="559">$AI$438</f>
        <v>12.421988751491574</v>
      </c>
    </row>
    <row r="369" spans="1:73" x14ac:dyDescent="0.25">
      <c r="A369" s="212"/>
      <c r="B369" t="s">
        <v>960</v>
      </c>
      <c r="C369" s="109">
        <f>$C$317+C368</f>
        <v>52.421988751491575</v>
      </c>
      <c r="D369" s="684"/>
      <c r="E369" s="684"/>
      <c r="I369" t="s">
        <v>959</v>
      </c>
      <c r="J369" s="109">
        <f t="shared" ref="J369" si="560">J$317+J368</f>
        <v>52.421988751491575</v>
      </c>
      <c r="P369" t="s">
        <v>959</v>
      </c>
      <c r="Q369" s="109">
        <f t="shared" ref="Q369" si="561">Q$317+Q368</f>
        <v>52.421988751491575</v>
      </c>
      <c r="W369" t="s">
        <v>959</v>
      </c>
      <c r="X369" s="109">
        <f t="shared" ref="X369" si="562">X$317+X368</f>
        <v>52.421988751491575</v>
      </c>
      <c r="AD369" t="s">
        <v>959</v>
      </c>
      <c r="AE369" s="109">
        <f t="shared" ref="AE369" si="563">AE$317+AE368</f>
        <v>52.421988751491575</v>
      </c>
      <c r="AK369" t="s">
        <v>959</v>
      </c>
      <c r="AL369" s="109">
        <f t="shared" ref="AL369" si="564">AL$317+AL368</f>
        <v>52.421988751491575</v>
      </c>
      <c r="AR369" t="s">
        <v>959</v>
      </c>
      <c r="AS369" s="109">
        <f t="shared" ref="AS369" si="565">AS$317+AS368</f>
        <v>54.878321988194301</v>
      </c>
      <c r="AY369" t="s">
        <v>959</v>
      </c>
      <c r="AZ369" s="109">
        <f t="shared" ref="AZ369" si="566">AZ$317+AZ368</f>
        <v>76.506800813381091</v>
      </c>
      <c r="BF369" t="s">
        <v>959</v>
      </c>
      <c r="BG369" s="109">
        <f t="shared" ref="BG369" si="567">BG$317+BG368</f>
        <v>97.332929628116645</v>
      </c>
      <c r="BM369" t="s">
        <v>959</v>
      </c>
      <c r="BN369" s="109">
        <f t="shared" ref="BN369" si="568">BN$317+BN368</f>
        <v>125.00821291126431</v>
      </c>
      <c r="BT369" t="s">
        <v>959</v>
      </c>
      <c r="BU369" s="109">
        <f t="shared" ref="BU369" si="569">BU$317+BU368</f>
        <v>168.7990451097827</v>
      </c>
    </row>
    <row r="370" spans="1:73" x14ac:dyDescent="0.25">
      <c r="A370" s="212"/>
      <c r="B370" t="s">
        <v>600</v>
      </c>
      <c r="C370" s="109">
        <f>MAX(C369,$C$36)</f>
        <v>52.421988751491575</v>
      </c>
      <c r="D370" s="684"/>
      <c r="E370" s="684"/>
      <c r="I370" t="s">
        <v>600</v>
      </c>
      <c r="J370" s="109">
        <f t="shared" ref="J370" si="570">MAX(J369,$C$16)</f>
        <v>52.421988751491575</v>
      </c>
      <c r="P370" t="s">
        <v>600</v>
      </c>
      <c r="Q370" s="109">
        <f t="shared" ref="Q370" si="571">MAX(Q369,$C$16)</f>
        <v>52.421988751491575</v>
      </c>
      <c r="W370" t="s">
        <v>600</v>
      </c>
      <c r="X370" s="109">
        <f t="shared" ref="X370" si="572">MAX(X369,$C$16)</f>
        <v>52.421988751491575</v>
      </c>
      <c r="AD370" t="s">
        <v>600</v>
      </c>
      <c r="AE370" s="109">
        <f t="shared" ref="AE370" si="573">MAX(AE369,$C$16)</f>
        <v>52.421988751491575</v>
      </c>
      <c r="AK370" t="s">
        <v>600</v>
      </c>
      <c r="AL370" s="109">
        <f t="shared" ref="AL370" si="574">MAX(AL369,$C$16)</f>
        <v>52.421988751491575</v>
      </c>
      <c r="AR370" t="s">
        <v>600</v>
      </c>
      <c r="AS370" s="109">
        <f t="shared" ref="AS370" si="575">MAX(AS369,$C$16)</f>
        <v>54.878321988194301</v>
      </c>
      <c r="AY370" t="s">
        <v>600</v>
      </c>
      <c r="AZ370" s="109">
        <f t="shared" ref="AZ370" si="576">MAX(AZ369,$C$16)</f>
        <v>76.506800813381091</v>
      </c>
      <c r="BF370" t="s">
        <v>600</v>
      </c>
      <c r="BG370" s="109">
        <f t="shared" ref="BG370" si="577">MAX(BG369,$C$16)</f>
        <v>97.332929628116645</v>
      </c>
      <c r="BM370" t="s">
        <v>600</v>
      </c>
      <c r="BN370" s="109">
        <f t="shared" ref="BN370" si="578">MAX(BN369,$C$16)</f>
        <v>125.00821291126431</v>
      </c>
      <c r="BT370" t="s">
        <v>600</v>
      </c>
      <c r="BU370" s="109">
        <f t="shared" ref="BU370" si="579">MAX(BU369,$C$16)</f>
        <v>168.7990451097827</v>
      </c>
    </row>
    <row r="371" spans="1:73" x14ac:dyDescent="0.25">
      <c r="A371" s="212"/>
      <c r="B371" t="s">
        <v>599</v>
      </c>
      <c r="C371" s="109">
        <f>C370+C367</f>
        <v>72.156501773064008</v>
      </c>
      <c r="D371" s="684"/>
      <c r="E371" s="684"/>
      <c r="I371" t="s">
        <v>599</v>
      </c>
      <c r="J371" s="109">
        <f t="shared" ref="J371" si="580">J370+J367</f>
        <v>72.156501773064008</v>
      </c>
      <c r="P371" t="s">
        <v>599</v>
      </c>
      <c r="Q371" s="109">
        <f t="shared" ref="Q371" si="581">Q370+Q367</f>
        <v>72.156501773064008</v>
      </c>
      <c r="W371" t="s">
        <v>599</v>
      </c>
      <c r="X371" s="109">
        <f t="shared" ref="X371" si="582">X370+X367</f>
        <v>72.156501773064008</v>
      </c>
      <c r="AD371" t="s">
        <v>599</v>
      </c>
      <c r="AE371" s="109">
        <f t="shared" ref="AE371" si="583">AE370+AE367</f>
        <v>72.156501773064008</v>
      </c>
      <c r="AK371" t="s">
        <v>599</v>
      </c>
      <c r="AL371" s="109">
        <f t="shared" ref="AL371" si="584">AL370+AL367</f>
        <v>72.156501773064008</v>
      </c>
      <c r="AR371" t="s">
        <v>599</v>
      </c>
      <c r="AS371" s="109">
        <f t="shared" ref="AS371" si="585">AS370+AS367</f>
        <v>74.612835009766741</v>
      </c>
      <c r="AY371" t="s">
        <v>599</v>
      </c>
      <c r="AZ371" s="109">
        <f t="shared" ref="AZ371" si="586">AZ370+AZ367</f>
        <v>96.24131383495353</v>
      </c>
      <c r="BF371" t="s">
        <v>599</v>
      </c>
      <c r="BG371" s="109">
        <f t="shared" ref="BG371" si="587">BG370+BG367</f>
        <v>117.06744264968908</v>
      </c>
      <c r="BM371" t="s">
        <v>599</v>
      </c>
      <c r="BN371" s="109">
        <f t="shared" ref="BN371" si="588">BN370+BN367</f>
        <v>144.74272593283675</v>
      </c>
      <c r="BT371" t="s">
        <v>599</v>
      </c>
      <c r="BU371" s="109">
        <f t="shared" ref="BU371" si="589">BU370+BU367</f>
        <v>188.53355813135514</v>
      </c>
    </row>
    <row r="372" spans="1:73" x14ac:dyDescent="0.25">
      <c r="A372" s="212"/>
      <c r="B372" t="s">
        <v>478</v>
      </c>
      <c r="C372" s="10">
        <f ca="1">C326+$AI$440</f>
        <v>47.855655579254517</v>
      </c>
      <c r="D372" s="684"/>
      <c r="E372" s="684"/>
      <c r="I372" t="s">
        <v>478</v>
      </c>
      <c r="J372" s="10">
        <f ca="1">J326+$AI$440</f>
        <v>47.30654868784768</v>
      </c>
      <c r="P372" t="s">
        <v>478</v>
      </c>
      <c r="Q372" s="10">
        <f ca="1">Q326+$AI$440</f>
        <v>46.674416557425531</v>
      </c>
      <c r="W372" t="s">
        <v>478</v>
      </c>
      <c r="X372" s="10">
        <f ca="1">X326+$AI$440</f>
        <v>46.01906185838466</v>
      </c>
      <c r="AD372" t="s">
        <v>478</v>
      </c>
      <c r="AE372" s="10">
        <f ca="1">AE326+$AI$440</f>
        <v>45.158101696441555</v>
      </c>
      <c r="AK372" t="s">
        <v>478</v>
      </c>
      <c r="AL372" s="10">
        <f ca="1">AL326+$AI$440</f>
        <v>44.555059275861865</v>
      </c>
      <c r="AR372" t="s">
        <v>478</v>
      </c>
      <c r="AS372" s="10">
        <f ca="1">AS326+$AI$440</f>
        <v>45.341985209751201</v>
      </c>
      <c r="AY372" t="s">
        <v>478</v>
      </c>
      <c r="AZ372" s="10">
        <f ca="1">AZ326+$AI$440</f>
        <v>66.222657113916071</v>
      </c>
      <c r="BF372" t="s">
        <v>478</v>
      </c>
      <c r="BG372" s="10">
        <f ca="1">BG326+$AI$440</f>
        <v>164.47114184343198</v>
      </c>
      <c r="BM372" t="s">
        <v>478</v>
      </c>
      <c r="BN372" s="10" t="e">
        <f ca="1">BN326+$AI$440</f>
        <v>#NUM!</v>
      </c>
      <c r="BT372" t="s">
        <v>478</v>
      </c>
      <c r="BU372" s="10" t="e">
        <f ca="1">BU326+$AI$440</f>
        <v>#NUM!</v>
      </c>
    </row>
    <row r="373" spans="1:73" x14ac:dyDescent="0.25">
      <c r="A373" s="212"/>
      <c r="B373" t="s">
        <v>477</v>
      </c>
      <c r="C373" s="10">
        <f ca="1">C372-15</f>
        <v>32.855655579254517</v>
      </c>
      <c r="D373" s="684"/>
      <c r="E373" s="684"/>
      <c r="I373" t="s">
        <v>477</v>
      </c>
      <c r="J373" s="10">
        <f t="shared" ref="J373" ca="1" si="590">J372-15</f>
        <v>32.30654868784768</v>
      </c>
      <c r="P373" t="s">
        <v>477</v>
      </c>
      <c r="Q373" s="10">
        <f t="shared" ref="Q373" ca="1" si="591">Q372-15</f>
        <v>31.674416557425531</v>
      </c>
      <c r="W373" t="s">
        <v>477</v>
      </c>
      <c r="X373" s="10">
        <f t="shared" ref="X373" ca="1" si="592">X372-15</f>
        <v>31.01906185838466</v>
      </c>
      <c r="AD373" t="s">
        <v>477</v>
      </c>
      <c r="AE373" s="10">
        <f t="shared" ref="AE373" ca="1" si="593">AE372-15</f>
        <v>30.158101696441555</v>
      </c>
      <c r="AK373" t="s">
        <v>477</v>
      </c>
      <c r="AL373" s="10">
        <f t="shared" ref="AL373" ca="1" si="594">AL372-15</f>
        <v>29.555059275861865</v>
      </c>
      <c r="AR373" t="s">
        <v>477</v>
      </c>
      <c r="AS373" s="10">
        <f t="shared" ref="AS373" ca="1" si="595">AS372-15</f>
        <v>30.341985209751201</v>
      </c>
      <c r="AY373" t="s">
        <v>477</v>
      </c>
      <c r="AZ373" s="10">
        <f t="shared" ref="AZ373" ca="1" si="596">AZ372-15</f>
        <v>51.222657113916071</v>
      </c>
      <c r="BF373" t="s">
        <v>477</v>
      </c>
      <c r="BG373" s="10">
        <f t="shared" ref="BG373" ca="1" si="597">BG372-15</f>
        <v>149.47114184343198</v>
      </c>
      <c r="BM373" t="s">
        <v>477</v>
      </c>
      <c r="BN373" s="10" t="e">
        <f t="shared" ref="BN373" ca="1" si="598">BN372-15</f>
        <v>#NUM!</v>
      </c>
      <c r="BT373" t="s">
        <v>477</v>
      </c>
      <c r="BU373" s="10" t="e">
        <f t="shared" ref="BU373" ca="1" si="599">BU372-15</f>
        <v>#NUM!</v>
      </c>
    </row>
    <row r="374" spans="1:73" x14ac:dyDescent="0.25">
      <c r="A374" s="212"/>
      <c r="B374" t="s">
        <v>1032</v>
      </c>
      <c r="C374" s="10">
        <f ca="1">C372+C$386</f>
        <v>49.115071084425217</v>
      </c>
      <c r="D374" s="684"/>
      <c r="E374" s="684"/>
      <c r="J374" s="10"/>
      <c r="Q374" s="10"/>
      <c r="X374" s="10"/>
      <c r="AE374" s="10"/>
      <c r="AL374" s="10"/>
      <c r="AS374" s="10"/>
      <c r="AZ374" s="10"/>
      <c r="BG374" s="10"/>
      <c r="BN374" s="10"/>
      <c r="BU374" s="10"/>
    </row>
    <row r="375" spans="1:73" x14ac:dyDescent="0.25">
      <c r="A375" s="212"/>
      <c r="B375" t="s">
        <v>1033</v>
      </c>
      <c r="C375" s="10">
        <f ca="1">C373+C$386</f>
        <v>34.115071084425217</v>
      </c>
      <c r="D375" s="684"/>
      <c r="E375" s="684"/>
      <c r="J375" s="10"/>
      <c r="Q375" s="10"/>
      <c r="X375" s="10"/>
      <c r="AE375" s="10"/>
      <c r="AL375" s="10"/>
      <c r="AS375" s="10"/>
      <c r="AZ375" s="10"/>
      <c r="BG375" s="10"/>
      <c r="BN375" s="10"/>
      <c r="BU375" s="10"/>
    </row>
    <row r="376" spans="1:73" x14ac:dyDescent="0.25">
      <c r="A376" s="212"/>
      <c r="C376" s="10"/>
      <c r="D376" s="684"/>
      <c r="E376" s="684"/>
      <c r="J376" s="10"/>
      <c r="Q376" s="10"/>
      <c r="X376" s="10"/>
      <c r="AE376" s="10"/>
      <c r="AL376" s="10"/>
      <c r="AS376" s="10"/>
      <c r="AZ376" s="10"/>
      <c r="BG376" s="10"/>
      <c r="BN376" s="10"/>
      <c r="BU376" s="10"/>
    </row>
    <row r="377" spans="1:73" x14ac:dyDescent="0.25">
      <c r="A377" s="212"/>
      <c r="B377" s="1" t="s">
        <v>1027</v>
      </c>
      <c r="C377" s="10"/>
      <c r="D377" s="684"/>
      <c r="E377" s="684"/>
      <c r="J377" s="10"/>
      <c r="Q377" s="10"/>
      <c r="X377" s="10"/>
      <c r="AE377" s="10"/>
      <c r="AL377" s="10"/>
      <c r="AS377" s="10"/>
      <c r="AZ377" s="10"/>
      <c r="BG377" s="10"/>
      <c r="BN377" s="10"/>
      <c r="BU377" s="10"/>
    </row>
    <row r="378" spans="1:73" x14ac:dyDescent="0.25">
      <c r="A378" s="212"/>
      <c r="B378" s="685" t="s">
        <v>1030</v>
      </c>
      <c r="C378" s="10">
        <f>$C$36+C355</f>
        <v>55.106750664139184</v>
      </c>
      <c r="D378" s="684"/>
      <c r="E378" s="684"/>
      <c r="J378" s="10"/>
      <c r="Q378" s="10"/>
      <c r="X378" s="10"/>
      <c r="AE378" s="10"/>
      <c r="AL378" s="10"/>
      <c r="AS378" s="10"/>
      <c r="AZ378" s="10"/>
      <c r="BG378" s="10"/>
      <c r="BN378" s="10"/>
      <c r="BU378" s="10"/>
    </row>
    <row r="379" spans="1:73" x14ac:dyDescent="0.25">
      <c r="A379" s="212"/>
      <c r="B379" t="s">
        <v>599</v>
      </c>
      <c r="C379" s="109">
        <f>C378+C354</f>
        <v>61.309142253038402</v>
      </c>
      <c r="D379" s="684"/>
      <c r="E379" s="684"/>
      <c r="J379" s="10"/>
      <c r="Q379" s="10"/>
      <c r="X379" s="10"/>
      <c r="AE379" s="10"/>
      <c r="AL379" s="10"/>
      <c r="AS379" s="10"/>
      <c r="AZ379" s="10"/>
      <c r="BG379" s="10"/>
      <c r="BN379" s="10"/>
      <c r="BU379" s="10"/>
    </row>
    <row r="380" spans="1:73" x14ac:dyDescent="0.25">
      <c r="A380" s="212"/>
      <c r="B380" t="s">
        <v>1031</v>
      </c>
      <c r="C380" s="10">
        <f>C378/C357</f>
        <v>1.2216963060464963</v>
      </c>
      <c r="D380" s="684"/>
      <c r="E380" s="684"/>
      <c r="J380" s="10"/>
      <c r="Q380" s="10"/>
      <c r="X380" s="10"/>
      <c r="AE380" s="10"/>
      <c r="AL380" s="10"/>
      <c r="AS380" s="10"/>
      <c r="AZ380" s="10"/>
      <c r="BG380" s="10"/>
      <c r="BN380" s="10"/>
      <c r="BU380" s="10"/>
    </row>
    <row r="381" spans="1:73" x14ac:dyDescent="0.25">
      <c r="A381" s="212"/>
      <c r="B381" t="s">
        <v>478</v>
      </c>
      <c r="C381" s="10">
        <f>7.2135*LN(C380)</f>
        <v>1.4444334603571578</v>
      </c>
      <c r="D381" s="684"/>
      <c r="E381" s="684"/>
      <c r="J381" s="10"/>
      <c r="Q381" s="10"/>
      <c r="X381" s="10"/>
      <c r="AE381" s="10"/>
      <c r="AL381" s="10"/>
      <c r="AS381" s="10"/>
      <c r="AZ381" s="10"/>
      <c r="BG381" s="10"/>
      <c r="BN381" s="10"/>
      <c r="BU381" s="10"/>
    </row>
    <row r="382" spans="1:73" x14ac:dyDescent="0.25">
      <c r="A382" s="212"/>
      <c r="C382" s="10"/>
      <c r="D382" s="684"/>
      <c r="E382" s="684"/>
      <c r="J382" s="10"/>
      <c r="Q382" s="10"/>
      <c r="X382" s="10"/>
      <c r="AE382" s="10"/>
      <c r="AL382" s="10"/>
      <c r="AS382" s="10"/>
      <c r="AZ382" s="10"/>
      <c r="BG382" s="10"/>
      <c r="BN382" s="10"/>
      <c r="BU382" s="10"/>
    </row>
    <row r="383" spans="1:73" x14ac:dyDescent="0.25">
      <c r="A383" s="212"/>
      <c r="B383" s="685" t="s">
        <v>1030</v>
      </c>
      <c r="C383" s="10">
        <f>C368+C36</f>
        <v>62.421988751491575</v>
      </c>
      <c r="D383" s="684"/>
      <c r="E383" s="684"/>
      <c r="J383" s="10"/>
      <c r="Q383" s="10"/>
      <c r="X383" s="10"/>
      <c r="AE383" s="10"/>
      <c r="AL383" s="10"/>
      <c r="AS383" s="10"/>
      <c r="AZ383" s="10"/>
      <c r="BG383" s="10"/>
      <c r="BN383" s="10"/>
      <c r="BU383" s="10"/>
    </row>
    <row r="384" spans="1:73" x14ac:dyDescent="0.25">
      <c r="A384" s="212"/>
      <c r="B384" t="s">
        <v>599</v>
      </c>
      <c r="C384" s="109">
        <f>C383+C367</f>
        <v>82.156501773064008</v>
      </c>
      <c r="D384" s="684"/>
      <c r="E384" s="684"/>
      <c r="J384" s="10"/>
      <c r="Q384" s="10"/>
      <c r="X384" s="10"/>
      <c r="AE384" s="10"/>
      <c r="AL384" s="10"/>
      <c r="AS384" s="10"/>
      <c r="AZ384" s="10"/>
      <c r="BG384" s="10"/>
      <c r="BN384" s="10"/>
      <c r="BU384" s="10"/>
    </row>
    <row r="385" spans="1:135" x14ac:dyDescent="0.25">
      <c r="A385" s="212"/>
      <c r="B385" t="s">
        <v>1031</v>
      </c>
      <c r="C385" s="10">
        <f>C383/C370</f>
        <v>1.1907596456785601</v>
      </c>
      <c r="D385" s="684"/>
      <c r="E385" s="684"/>
      <c r="J385" s="10"/>
      <c r="Q385" s="10"/>
      <c r="X385" s="10"/>
      <c r="AE385" s="10"/>
      <c r="AL385" s="10"/>
      <c r="AS385" s="10"/>
      <c r="AZ385" s="10"/>
      <c r="BG385" s="10"/>
      <c r="BN385" s="10"/>
      <c r="BU385" s="10"/>
    </row>
    <row r="386" spans="1:135" x14ac:dyDescent="0.25">
      <c r="A386" s="212"/>
      <c r="B386" t="s">
        <v>478</v>
      </c>
      <c r="C386" s="10">
        <f>7.2135*LN(C385)</f>
        <v>1.2594155051706972</v>
      </c>
      <c r="D386" s="684"/>
      <c r="E386" s="684"/>
      <c r="J386" s="10"/>
      <c r="Q386" s="10"/>
      <c r="X386" s="10"/>
      <c r="AE386" s="10"/>
      <c r="AL386" s="10"/>
      <c r="AS386" s="10"/>
      <c r="AZ386" s="10"/>
      <c r="BG386" s="10"/>
      <c r="BN386" s="10"/>
      <c r="BU386" s="10"/>
    </row>
    <row r="387" spans="1:135" x14ac:dyDescent="0.25">
      <c r="A387" s="212"/>
      <c r="C387" s="10"/>
      <c r="D387" s="684"/>
      <c r="E387" s="684"/>
      <c r="J387" s="10"/>
      <c r="Q387" s="10"/>
      <c r="X387" s="10"/>
      <c r="AE387" s="10"/>
      <c r="AL387" s="10"/>
      <c r="AS387" s="10"/>
      <c r="AZ387" s="10"/>
      <c r="BG387" s="10"/>
      <c r="BN387" s="10"/>
      <c r="BU387" s="10"/>
    </row>
    <row r="388" spans="1:135" ht="15.75" customHeight="1" x14ac:dyDescent="0.25">
      <c r="A388" s="212"/>
      <c r="B388" s="212"/>
      <c r="C388" s="681"/>
      <c r="D388" s="212"/>
      <c r="E388" s="684"/>
      <c r="J388" s="10"/>
      <c r="Q388" s="10"/>
      <c r="X388" s="10"/>
      <c r="AE388" s="10"/>
      <c r="AL388" s="10"/>
      <c r="AS388" s="10"/>
      <c r="AZ388" s="10"/>
      <c r="BG388" s="10"/>
      <c r="BN388" s="10"/>
      <c r="BU388" s="10"/>
    </row>
    <row r="389" spans="1:135" ht="15.75" customHeight="1" x14ac:dyDescent="0.25">
      <c r="C389" s="10"/>
      <c r="J389" s="10"/>
      <c r="Q389" s="10"/>
      <c r="X389" s="10"/>
      <c r="AE389" s="10"/>
      <c r="AL389" s="10"/>
      <c r="AS389" s="10"/>
      <c r="AZ389" s="10"/>
      <c r="BG389" s="10"/>
      <c r="BN389" s="10"/>
      <c r="BU389" s="10"/>
    </row>
    <row r="390" spans="1:135" ht="15.75" customHeight="1" x14ac:dyDescent="0.25">
      <c r="B390" s="199" t="s">
        <v>334</v>
      </c>
      <c r="I390" s="199" t="s">
        <v>335</v>
      </c>
      <c r="P390" s="199" t="s">
        <v>353</v>
      </c>
      <c r="W390" s="199" t="s">
        <v>354</v>
      </c>
      <c r="AD390" s="199" t="s">
        <v>355</v>
      </c>
      <c r="AK390" s="199" t="s">
        <v>356</v>
      </c>
      <c r="AR390" s="199" t="s">
        <v>400</v>
      </c>
      <c r="AY390" s="199" t="s">
        <v>415</v>
      </c>
      <c r="BF390" s="199" t="s">
        <v>416</v>
      </c>
      <c r="BM390" s="199" t="s">
        <v>417</v>
      </c>
      <c r="BT390" s="199" t="s">
        <v>418</v>
      </c>
      <c r="CA390" s="1"/>
      <c r="CH390" s="1"/>
      <c r="CO390" s="1"/>
      <c r="CV390" s="160"/>
      <c r="DC390" s="1"/>
      <c r="DJ390" s="1"/>
      <c r="DQ390" s="1"/>
      <c r="DX390" s="1"/>
      <c r="EE390" s="1"/>
    </row>
    <row r="391" spans="1:135" ht="15.75" customHeight="1" x14ac:dyDescent="0.25"/>
    <row r="392" spans="1:135" ht="15.75" customHeight="1" x14ac:dyDescent="0.25">
      <c r="B392" s="1" t="s">
        <v>222</v>
      </c>
      <c r="C392" s="5">
        <v>0</v>
      </c>
      <c r="D392" s="5">
        <v>1</v>
      </c>
      <c r="E392" s="5">
        <v>2</v>
      </c>
      <c r="F392" s="5">
        <v>3</v>
      </c>
      <c r="G392" s="5">
        <v>4</v>
      </c>
      <c r="H392" s="5">
        <v>5</v>
      </c>
      <c r="I392" s="5">
        <v>6</v>
      </c>
      <c r="J392" s="5">
        <v>7</v>
      </c>
      <c r="K392" s="5">
        <v>8</v>
      </c>
      <c r="L392" s="5">
        <v>9</v>
      </c>
      <c r="M392" s="5">
        <v>10</v>
      </c>
    </row>
    <row r="393" spans="1:135" ht="15.75" customHeight="1" x14ac:dyDescent="0.25">
      <c r="B393" s="1" t="s">
        <v>38</v>
      </c>
      <c r="C393">
        <f>IFERROR(C613,"")</f>
        <v>8.4</v>
      </c>
      <c r="D393">
        <f t="shared" ref="D393:M393" si="600">IFERROR(D613,"")</f>
        <v>8.5</v>
      </c>
      <c r="E393">
        <f t="shared" si="600"/>
        <v>8.6999999999999993</v>
      </c>
      <c r="F393">
        <f t="shared" si="600"/>
        <v>8.8000000000000007</v>
      </c>
      <c r="G393">
        <f t="shared" si="600"/>
        <v>9.1999999999999993</v>
      </c>
      <c r="H393">
        <f t="shared" si="600"/>
        <v>9.3000000000000007</v>
      </c>
      <c r="I393">
        <f t="shared" si="600"/>
        <v>9.3000000000000007</v>
      </c>
      <c r="J393">
        <f t="shared" si="600"/>
        <v>9.3000000000000007</v>
      </c>
      <c r="K393">
        <f t="shared" si="600"/>
        <v>9.3000000000000007</v>
      </c>
      <c r="L393">
        <f t="shared" si="600"/>
        <v>9.3000000000000007</v>
      </c>
      <c r="M393">
        <f t="shared" si="600"/>
        <v>9.3000000000000007</v>
      </c>
    </row>
    <row r="394" spans="1:135" ht="15.75" customHeight="1" x14ac:dyDescent="0.25">
      <c r="B394" s="1" t="s">
        <v>22</v>
      </c>
      <c r="C394">
        <f t="shared" ref="C394:M394" si="601">IFERROR(C615,"")</f>
        <v>2.2999999999999998</v>
      </c>
      <c r="D394">
        <f t="shared" si="601"/>
        <v>2.2999999999999998</v>
      </c>
      <c r="E394">
        <f t="shared" si="601"/>
        <v>2.4</v>
      </c>
      <c r="F394">
        <f t="shared" si="601"/>
        <v>2.4</v>
      </c>
      <c r="G394">
        <f t="shared" si="601"/>
        <v>2.4</v>
      </c>
      <c r="H394">
        <f t="shared" si="601"/>
        <v>2.5</v>
      </c>
      <c r="I394">
        <f t="shared" si="601"/>
        <v>2.6</v>
      </c>
      <c r="J394">
        <f t="shared" si="601"/>
        <v>2.7</v>
      </c>
      <c r="K394">
        <f t="shared" si="601"/>
        <v>2.9</v>
      </c>
      <c r="L394">
        <f t="shared" si="601"/>
        <v>3.1</v>
      </c>
      <c r="M394">
        <f t="shared" si="601"/>
        <v>3.4</v>
      </c>
    </row>
    <row r="395" spans="1:135" ht="15.75" customHeight="1" x14ac:dyDescent="0.25">
      <c r="B395" s="1" t="s">
        <v>241</v>
      </c>
      <c r="C395" t="b">
        <f t="shared" ref="C395:M395" ca="1" si="602">C645</f>
        <v>1</v>
      </c>
      <c r="D395" t="b">
        <f t="shared" ca="1" si="602"/>
        <v>1</v>
      </c>
      <c r="E395" t="b">
        <f t="shared" ca="1" si="602"/>
        <v>1</v>
      </c>
      <c r="F395" t="b">
        <f t="shared" ca="1" si="602"/>
        <v>1</v>
      </c>
      <c r="G395" t="b">
        <f t="shared" ca="1" si="602"/>
        <v>0</v>
      </c>
      <c r="H395" t="b">
        <f t="shared" ca="1" si="602"/>
        <v>0</v>
      </c>
      <c r="I395" t="b">
        <f t="shared" ca="1" si="602"/>
        <v>1</v>
      </c>
      <c r="J395" t="b">
        <f t="shared" ca="1" si="602"/>
        <v>1</v>
      </c>
      <c r="K395" t="b">
        <f t="shared" ca="1" si="602"/>
        <v>1</v>
      </c>
      <c r="L395" t="b">
        <f t="shared" ca="1" si="602"/>
        <v>1</v>
      </c>
      <c r="M395" t="b">
        <f t="shared" ca="1" si="602"/>
        <v>1</v>
      </c>
    </row>
    <row r="396" spans="1:135" ht="15.75" customHeight="1" x14ac:dyDescent="0.25">
      <c r="B396" s="1" t="s">
        <v>38</v>
      </c>
      <c r="C396" t="str">
        <f t="shared" ref="C396:M396" ca="1" si="603">IF(NOT(C$395),C393,"")</f>
        <v/>
      </c>
      <c r="D396" t="str">
        <f t="shared" ca="1" si="603"/>
        <v/>
      </c>
      <c r="E396" t="str">
        <f t="shared" ca="1" si="603"/>
        <v/>
      </c>
      <c r="F396" t="str">
        <f t="shared" ca="1" si="603"/>
        <v/>
      </c>
      <c r="G396">
        <f t="shared" ca="1" si="603"/>
        <v>9.1999999999999993</v>
      </c>
      <c r="H396">
        <f t="shared" ca="1" si="603"/>
        <v>9.3000000000000007</v>
      </c>
      <c r="I396" t="str">
        <f t="shared" ca="1" si="603"/>
        <v/>
      </c>
      <c r="J396" t="str">
        <f t="shared" ca="1" si="603"/>
        <v/>
      </c>
      <c r="K396" t="str">
        <f t="shared" ca="1" si="603"/>
        <v/>
      </c>
      <c r="L396" t="str">
        <f t="shared" ca="1" si="603"/>
        <v/>
      </c>
      <c r="M396" t="str">
        <f t="shared" ca="1" si="603"/>
        <v/>
      </c>
    </row>
    <row r="397" spans="1:135" x14ac:dyDescent="0.25">
      <c r="B397" s="1" t="s">
        <v>22</v>
      </c>
      <c r="C397" t="str">
        <f t="shared" ref="C397:M397" ca="1" si="604">IF(NOT(C$395),C394,"")</f>
        <v/>
      </c>
      <c r="D397" t="str">
        <f t="shared" ca="1" si="604"/>
        <v/>
      </c>
      <c r="E397" t="str">
        <f t="shared" ca="1" si="604"/>
        <v/>
      </c>
      <c r="F397" t="str">
        <f t="shared" ca="1" si="604"/>
        <v/>
      </c>
      <c r="G397">
        <f t="shared" ca="1" si="604"/>
        <v>2.4</v>
      </c>
      <c r="H397">
        <f t="shared" ca="1" si="604"/>
        <v>2.5</v>
      </c>
      <c r="I397" t="str">
        <f t="shared" ca="1" si="604"/>
        <v/>
      </c>
      <c r="J397" t="str">
        <f t="shared" ca="1" si="604"/>
        <v/>
      </c>
      <c r="K397" t="str">
        <f t="shared" ca="1" si="604"/>
        <v/>
      </c>
      <c r="L397" t="str">
        <f t="shared" ca="1" si="604"/>
        <v/>
      </c>
      <c r="M397" t="str">
        <f t="shared" ca="1" si="604"/>
        <v/>
      </c>
    </row>
    <row r="398" spans="1:135" x14ac:dyDescent="0.25">
      <c r="B398" s="1" t="s">
        <v>226</v>
      </c>
      <c r="C398">
        <f ca="1">IFERROR(AVERAGE(AVERAGE(C396:M396),AVERAGE(C397:M397)),AVERAGE(C393:M394))</f>
        <v>5.85</v>
      </c>
    </row>
    <row r="399" spans="1:135" x14ac:dyDescent="0.25">
      <c r="B399" t="s">
        <v>225</v>
      </c>
      <c r="C399">
        <f ca="1">$C$14/(C398^2*$C$127)</f>
        <v>2.9220542041054864</v>
      </c>
    </row>
    <row r="400" spans="1:135" x14ac:dyDescent="0.25">
      <c r="B400" t="s">
        <v>224</v>
      </c>
      <c r="C400">
        <f>$C$14/($C$29^2*$C$127)</f>
        <v>2.7777777777777777</v>
      </c>
    </row>
    <row r="401" spans="2:46" x14ac:dyDescent="0.25">
      <c r="B401" t="s">
        <v>223</v>
      </c>
      <c r="C401">
        <f>$C$22</f>
        <v>2.6</v>
      </c>
    </row>
    <row r="402" spans="2:46" x14ac:dyDescent="0.25">
      <c r="B402" s="1" t="s">
        <v>126</v>
      </c>
      <c r="C402" s="1">
        <f ca="1">ROUND(IF($C$28=1,C399,IF($C$28=2,C400,C401)),1)</f>
        <v>2.9</v>
      </c>
    </row>
    <row r="403" spans="2:46" x14ac:dyDescent="0.25">
      <c r="B403" t="s">
        <v>333</v>
      </c>
      <c r="C403">
        <f ca="1">ROUND(C402*C4,1)</f>
        <v>2.9</v>
      </c>
    </row>
    <row r="404" spans="2:46" x14ac:dyDescent="0.25">
      <c r="B404" t="s">
        <v>332</v>
      </c>
      <c r="C404">
        <f ca="1">IF(C402&gt;10,10,IF(C402&lt;2,2,C402))</f>
        <v>2.9</v>
      </c>
    </row>
    <row r="405" spans="2:46" x14ac:dyDescent="0.25">
      <c r="B405" s="1" t="s">
        <v>234</v>
      </c>
      <c r="C405" s="1">
        <f ca="1">ROUND(IF(C28=1,C398,IF(C28=2,C29,IF(C28=3,SQRT($C$14/C401/$C$127)))),1)</f>
        <v>5.9</v>
      </c>
    </row>
    <row r="406" spans="2:46" x14ac:dyDescent="0.25">
      <c r="B406" t="s">
        <v>151</v>
      </c>
      <c r="C406">
        <f>IF($C$3=1,30,108)</f>
        <v>30</v>
      </c>
    </row>
    <row r="408" spans="2:46" ht="20.25" thickBot="1" x14ac:dyDescent="0.35">
      <c r="B408" s="163" t="s">
        <v>172</v>
      </c>
      <c r="C408" s="164"/>
      <c r="D408" s="164"/>
      <c r="E408" s="164"/>
      <c r="F408" s="164"/>
      <c r="G408" s="164"/>
      <c r="H408" s="164"/>
      <c r="I408" s="164"/>
      <c r="J408" s="164"/>
      <c r="K408" s="164"/>
    </row>
    <row r="409" spans="2:46" ht="15.75" thickTop="1" x14ac:dyDescent="0.25"/>
    <row r="410" spans="2:46" x14ac:dyDescent="0.25">
      <c r="B410" t="s">
        <v>652</v>
      </c>
      <c r="C410" s="12">
        <v>0.52</v>
      </c>
    </row>
    <row r="411" spans="2:46" x14ac:dyDescent="0.25">
      <c r="B411" s="486" t="s">
        <v>648</v>
      </c>
      <c r="C411">
        <v>-53.75</v>
      </c>
    </row>
    <row r="412" spans="2:46" x14ac:dyDescent="0.25">
      <c r="B412" s="166" t="s">
        <v>596</v>
      </c>
      <c r="C412" s="166">
        <v>3.4783969291614607</v>
      </c>
    </row>
    <row r="413" spans="2:46" x14ac:dyDescent="0.25">
      <c r="B413" t="s">
        <v>494</v>
      </c>
      <c r="C413">
        <v>3.5</v>
      </c>
      <c r="D413" t="s">
        <v>120</v>
      </c>
    </row>
    <row r="414" spans="2:46" x14ac:dyDescent="0.25">
      <c r="B414" t="s">
        <v>903</v>
      </c>
      <c r="C414">
        <v>3.8</v>
      </c>
      <c r="D414" t="s">
        <v>120</v>
      </c>
    </row>
    <row r="415" spans="2:46" ht="15.75" thickBot="1" x14ac:dyDescent="0.3">
      <c r="B415" t="s">
        <v>428</v>
      </c>
    </row>
    <row r="416" spans="2:46" x14ac:dyDescent="0.25">
      <c r="B416" s="431"/>
      <c r="C416" s="432" t="s">
        <v>574</v>
      </c>
      <c r="D416" s="208"/>
      <c r="E416" s="208"/>
      <c r="F416" s="208"/>
      <c r="G416" s="208"/>
      <c r="H416" s="208"/>
      <c r="I416" s="208"/>
      <c r="J416" s="431"/>
      <c r="K416" s="208" t="s">
        <v>429</v>
      </c>
      <c r="L416" s="208"/>
      <c r="M416" s="208"/>
      <c r="N416" s="208"/>
      <c r="O416" s="208"/>
      <c r="P416" s="208"/>
      <c r="Q416" s="208"/>
      <c r="R416" s="431"/>
      <c r="S416" s="208" t="s">
        <v>480</v>
      </c>
      <c r="T416" s="208"/>
      <c r="U416" s="208"/>
      <c r="V416" s="208"/>
      <c r="W416" s="208"/>
      <c r="X416" s="208"/>
      <c r="Y416" s="208"/>
      <c r="Z416" s="586"/>
      <c r="AA416" s="208" t="s">
        <v>880</v>
      </c>
      <c r="AB416" s="208"/>
      <c r="AC416" s="208"/>
      <c r="AD416" s="208"/>
      <c r="AE416" s="208"/>
      <c r="AF416" s="208"/>
      <c r="AG416" s="433"/>
      <c r="AM416" s="586"/>
      <c r="AN416" s="208" t="s">
        <v>880</v>
      </c>
      <c r="AO416" s="208"/>
      <c r="AP416" s="208"/>
      <c r="AQ416" s="208"/>
      <c r="AR416" s="208"/>
      <c r="AS416" s="208"/>
      <c r="AT416" s="433"/>
    </row>
    <row r="417" spans="2:49" x14ac:dyDescent="0.25">
      <c r="B417" s="434"/>
      <c r="C417" t="s">
        <v>92</v>
      </c>
      <c r="D417" t="s">
        <v>51</v>
      </c>
      <c r="E417" t="s">
        <v>174</v>
      </c>
      <c r="F417" t="s">
        <v>481</v>
      </c>
      <c r="G417" t="s">
        <v>874</v>
      </c>
      <c r="H417" t="s">
        <v>606</v>
      </c>
      <c r="I417" t="s">
        <v>608</v>
      </c>
      <c r="J417" s="434"/>
      <c r="K417" t="s">
        <v>92</v>
      </c>
      <c r="L417" t="s">
        <v>51</v>
      </c>
      <c r="M417" t="s">
        <v>174</v>
      </c>
      <c r="N417" t="s">
        <v>481</v>
      </c>
      <c r="O417" t="s">
        <v>874</v>
      </c>
      <c r="P417" t="s">
        <v>606</v>
      </c>
      <c r="Q417" t="s">
        <v>609</v>
      </c>
      <c r="R417" s="434"/>
      <c r="S417" t="s">
        <v>92</v>
      </c>
      <c r="T417" t="s">
        <v>51</v>
      </c>
      <c r="U417" t="s">
        <v>174</v>
      </c>
      <c r="V417" t="s">
        <v>481</v>
      </c>
      <c r="W417" t="s">
        <v>874</v>
      </c>
      <c r="X417" t="s">
        <v>606</v>
      </c>
      <c r="Y417" t="s">
        <v>608</v>
      </c>
      <c r="Z417" s="157"/>
      <c r="AA417" t="s">
        <v>92</v>
      </c>
      <c r="AB417" t="s">
        <v>51</v>
      </c>
      <c r="AC417" t="s">
        <v>174</v>
      </c>
      <c r="AD417" t="s">
        <v>875</v>
      </c>
      <c r="AE417" t="s">
        <v>879</v>
      </c>
      <c r="AF417" t="s">
        <v>606</v>
      </c>
      <c r="AG417" s="435" t="s">
        <v>608</v>
      </c>
      <c r="AM417" s="157"/>
      <c r="AN417" t="s">
        <v>92</v>
      </c>
      <c r="AO417" t="s">
        <v>51</v>
      </c>
      <c r="AP417" t="s">
        <v>174</v>
      </c>
      <c r="AQ417" t="s">
        <v>875</v>
      </c>
      <c r="AR417" t="s">
        <v>879</v>
      </c>
      <c r="AS417" t="s">
        <v>606</v>
      </c>
      <c r="AT417" s="435" t="s">
        <v>608</v>
      </c>
    </row>
    <row r="418" spans="2:49" x14ac:dyDescent="0.25">
      <c r="B418" s="434">
        <v>1</v>
      </c>
      <c r="C418">
        <v>150</v>
      </c>
      <c r="D418" s="5">
        <f>CEILING(F418*$C$413*1000,1)</f>
        <v>62</v>
      </c>
      <c r="E418">
        <f>+INT(D418&gt;=$C$14)</f>
        <v>0</v>
      </c>
      <c r="F418" s="198">
        <f>'Connection Box Details'!J34</f>
        <v>1.7436624625586747E-2</v>
      </c>
      <c r="G418" s="198" t="b">
        <v>1</v>
      </c>
      <c r="H418">
        <v>0</v>
      </c>
      <c r="I418">
        <v>1</v>
      </c>
      <c r="J418" s="438">
        <v>1</v>
      </c>
      <c r="K418">
        <v>150</v>
      </c>
      <c r="L418" s="5">
        <f>CEILING(N418*$C$413*1000,1)</f>
        <v>62</v>
      </c>
      <c r="M418">
        <f>+INT(L418&gt;=$C$14)</f>
        <v>0</v>
      </c>
      <c r="N418" s="198">
        <f>'Connection Box Details'!J25</f>
        <v>1.7436624625586747E-2</v>
      </c>
      <c r="O418" s="198" t="b">
        <v>1</v>
      </c>
      <c r="P418">
        <f>MAX(Q418-1.5,0)</f>
        <v>0</v>
      </c>
      <c r="Q418">
        <v>1</v>
      </c>
      <c r="R418" s="434">
        <v>1</v>
      </c>
      <c r="S418">
        <v>150</v>
      </c>
      <c r="T418" s="5">
        <f>CEILING(V418*$C$413*1000,1)</f>
        <v>59</v>
      </c>
      <c r="U418">
        <f>+INT(T418&gt;=$C$14)</f>
        <v>0</v>
      </c>
      <c r="V418" s="198">
        <f>'Connection Box Details'!J17</f>
        <v>1.6654156934922754E-2</v>
      </c>
      <c r="W418" s="198"/>
      <c r="X418">
        <f>MAX(Y418-1.5,0)</f>
        <v>0</v>
      </c>
      <c r="Y418">
        <v>1.304</v>
      </c>
      <c r="Z418" s="157">
        <v>1</v>
      </c>
      <c r="AA418">
        <v>150</v>
      </c>
      <c r="AB418" s="5">
        <f>CEILING(AD418*$C$413*1000,1)</f>
        <v>62</v>
      </c>
      <c r="AC418">
        <f>+INT(AB418&gt;=$C$14)</f>
        <v>0</v>
      </c>
      <c r="AD418" s="198">
        <f>'Optional Pressure Dampers'!I12</f>
        <v>1.7436624625586747E-2</v>
      </c>
      <c r="AE418" s="198">
        <f>AA418+100</f>
        <v>250</v>
      </c>
      <c r="AF418">
        <f>MAX(AG418-1.5,0)</f>
        <v>0</v>
      </c>
      <c r="AG418" s="435">
        <v>1.304</v>
      </c>
      <c r="AM418" s="157">
        <v>1</v>
      </c>
      <c r="AN418">
        <v>150</v>
      </c>
      <c r="AO418" s="5">
        <f>CEILING(AQ418*$C$413*1000,1)</f>
        <v>62</v>
      </c>
      <c r="AP418">
        <f>+INT(AO418&gt;=$C$14)</f>
        <v>0</v>
      </c>
      <c r="AQ418" s="198">
        <f>'Optional Pressure Dampers'!I12</f>
        <v>1.7436624625586747E-2</v>
      </c>
      <c r="AR418" s="198">
        <f>AN418+100</f>
        <v>250</v>
      </c>
      <c r="AS418">
        <f>MAX(AT418-1.5,0)</f>
        <v>0</v>
      </c>
      <c r="AT418" s="435">
        <v>1.304</v>
      </c>
    </row>
    <row r="419" spans="2:49" x14ac:dyDescent="0.25">
      <c r="B419" s="434">
        <v>2</v>
      </c>
      <c r="C419">
        <v>200</v>
      </c>
      <c r="D419" s="5">
        <f t="shared" ref="D419:D422" si="605">CEILING(F419*$C$413*1000,1)</f>
        <v>109</v>
      </c>
      <c r="E419">
        <f t="shared" ref="E419:E422" si="606">+INT(D419&gt;=$C$14)</f>
        <v>1</v>
      </c>
      <c r="F419" s="198">
        <f>'Connection Box Details'!J35</f>
        <v>3.1102552668702352E-2</v>
      </c>
      <c r="G419" s="198" t="b">
        <v>1</v>
      </c>
      <c r="H419">
        <v>0</v>
      </c>
      <c r="I419">
        <v>1</v>
      </c>
      <c r="J419" s="438">
        <v>2</v>
      </c>
      <c r="K419">
        <v>200</v>
      </c>
      <c r="L419" s="5">
        <f t="shared" ref="L419:L422" si="607">CEILING(N419*$C$413*1000,1)</f>
        <v>107</v>
      </c>
      <c r="M419">
        <f t="shared" ref="M419:M422" si="608">+INT(L419&gt;=$C$14)</f>
        <v>1</v>
      </c>
      <c r="N419" s="198">
        <f>'Connection Box Details'!J26</f>
        <v>3.0293069079278843E-2</v>
      </c>
      <c r="O419" s="198" t="b">
        <v>0</v>
      </c>
      <c r="P419">
        <f t="shared" ref="P419:P422" si="609">MAX(Q419-1.5,0)</f>
        <v>0</v>
      </c>
      <c r="Q419">
        <v>1.2171428571428571</v>
      </c>
      <c r="R419" s="434">
        <v>2</v>
      </c>
      <c r="S419">
        <v>200</v>
      </c>
      <c r="T419" s="5">
        <f t="shared" ref="T419:T421" si="610">CEILING(V419*$C$413*1000,1)</f>
        <v>87</v>
      </c>
      <c r="U419">
        <f t="shared" ref="U419:U421" si="611">+INT(T419&gt;=$C$14)</f>
        <v>0</v>
      </c>
      <c r="V419" s="198">
        <f>'Connection Box Details'!J18</f>
        <v>2.4754257821257876E-2</v>
      </c>
      <c r="W419" s="198"/>
      <c r="X419">
        <f t="shared" ref="X419:X421" si="612">MAX(Y419-1.5,0)</f>
        <v>0.42799999999999994</v>
      </c>
      <c r="Y419">
        <v>1.9279999999999999</v>
      </c>
      <c r="Z419" s="157">
        <v>2</v>
      </c>
      <c r="AA419">
        <v>200</v>
      </c>
      <c r="AB419" s="5">
        <f t="shared" ref="AB419:AB421" si="613">CEILING(AD419*$C$413*1000,1)</f>
        <v>109</v>
      </c>
      <c r="AC419">
        <f t="shared" ref="AC419:AC421" si="614">+INT(AB419&gt;=$C$14)</f>
        <v>1</v>
      </c>
      <c r="AD419" s="198">
        <f>'Optional Pressure Dampers'!I13</f>
        <v>3.1102552668702352E-2</v>
      </c>
      <c r="AE419" s="198">
        <f t="shared" ref="AE419:AE421" si="615">AA419+100</f>
        <v>300</v>
      </c>
      <c r="AF419">
        <f t="shared" ref="AF419:AF421" si="616">MAX(AG419-1.5,0)</f>
        <v>0.42799999999999994</v>
      </c>
      <c r="AG419" s="435">
        <v>1.9279999999999999</v>
      </c>
      <c r="AM419" s="157">
        <v>2</v>
      </c>
      <c r="AN419">
        <v>200</v>
      </c>
      <c r="AO419" s="5">
        <f t="shared" ref="AO419:AO421" si="617">CEILING(AQ419*$C$413*1000,1)</f>
        <v>109</v>
      </c>
      <c r="AP419">
        <f t="shared" ref="AP419:AP421" si="618">+INT(AO419&gt;=$C$14)</f>
        <v>1</v>
      </c>
      <c r="AQ419" s="198">
        <f>'Optional Pressure Dampers'!I13</f>
        <v>3.1102552668702352E-2</v>
      </c>
      <c r="AR419" s="198">
        <f t="shared" ref="AR419:AR421" si="619">AN419+100</f>
        <v>300</v>
      </c>
      <c r="AS419">
        <f t="shared" ref="AS419:AS421" si="620">MAX(AT419-1.5,0)</f>
        <v>0.42799999999999994</v>
      </c>
      <c r="AT419" s="435">
        <v>1.9279999999999999</v>
      </c>
    </row>
    <row r="420" spans="2:49" x14ac:dyDescent="0.25">
      <c r="B420" s="434">
        <v>3</v>
      </c>
      <c r="C420">
        <v>250</v>
      </c>
      <c r="D420" s="5">
        <f t="shared" si="605"/>
        <v>171</v>
      </c>
      <c r="E420">
        <f t="shared" si="606"/>
        <v>1</v>
      </c>
      <c r="F420" s="198">
        <f>'Connection Box Details'!J36</f>
        <v>4.8695471528805191E-2</v>
      </c>
      <c r="G420" s="198" t="b">
        <v>1</v>
      </c>
      <c r="H420">
        <v>0</v>
      </c>
      <c r="I420">
        <v>1</v>
      </c>
      <c r="J420" s="438">
        <v>3</v>
      </c>
      <c r="K420">
        <v>250</v>
      </c>
      <c r="L420" s="5">
        <f t="shared" si="607"/>
        <v>147</v>
      </c>
      <c r="M420">
        <f t="shared" si="608"/>
        <v>1</v>
      </c>
      <c r="N420" s="198">
        <f>'Connection Box Details'!J27</f>
        <v>4.199986442401181E-2</v>
      </c>
      <c r="O420" s="198" t="b">
        <v>0</v>
      </c>
      <c r="P420">
        <f t="shared" si="609"/>
        <v>0.16285714285714281</v>
      </c>
      <c r="Q420">
        <v>1.6628571428571428</v>
      </c>
      <c r="R420" s="434">
        <v>3</v>
      </c>
      <c r="S420" s="6">
        <v>250</v>
      </c>
      <c r="T420" s="5">
        <f t="shared" si="610"/>
        <v>114</v>
      </c>
      <c r="U420">
        <f t="shared" si="611"/>
        <v>1</v>
      </c>
      <c r="V420" s="198">
        <f>'Connection Box Details'!J19</f>
        <v>3.231978454180915E-2</v>
      </c>
      <c r="W420" s="198"/>
      <c r="X420">
        <f t="shared" si="612"/>
        <v>1.06</v>
      </c>
      <c r="Y420">
        <v>2.56</v>
      </c>
      <c r="Z420" s="157">
        <v>3</v>
      </c>
      <c r="AA420" s="6">
        <v>250</v>
      </c>
      <c r="AB420" s="5">
        <f t="shared" si="613"/>
        <v>171</v>
      </c>
      <c r="AC420">
        <f t="shared" si="614"/>
        <v>1</v>
      </c>
      <c r="AD420" s="198">
        <f>'Optional Pressure Dampers'!I14</f>
        <v>4.8695471528805191E-2</v>
      </c>
      <c r="AE420" s="198">
        <f t="shared" si="615"/>
        <v>350</v>
      </c>
      <c r="AF420">
        <f t="shared" si="616"/>
        <v>1.06</v>
      </c>
      <c r="AG420" s="435">
        <v>2.56</v>
      </c>
      <c r="AM420" s="157">
        <v>3</v>
      </c>
      <c r="AN420" s="6">
        <v>250</v>
      </c>
      <c r="AO420" s="5">
        <f t="shared" si="617"/>
        <v>171</v>
      </c>
      <c r="AP420">
        <f t="shared" si="618"/>
        <v>1</v>
      </c>
      <c r="AQ420" s="198">
        <f>'Optional Pressure Dampers'!I14</f>
        <v>4.8695471528805191E-2</v>
      </c>
      <c r="AR420" s="198">
        <f t="shared" si="619"/>
        <v>350</v>
      </c>
      <c r="AS420">
        <f t="shared" si="620"/>
        <v>1.06</v>
      </c>
      <c r="AT420" s="435">
        <v>2.56</v>
      </c>
    </row>
    <row r="421" spans="2:49" x14ac:dyDescent="0.25">
      <c r="B421" s="434">
        <v>4</v>
      </c>
      <c r="C421">
        <v>300</v>
      </c>
      <c r="D421" s="5">
        <f t="shared" si="605"/>
        <v>235</v>
      </c>
      <c r="E421">
        <f t="shared" si="606"/>
        <v>1</v>
      </c>
      <c r="F421" s="198">
        <f>'Connection Box Details'!J37</f>
        <v>6.6961239110290713E-2</v>
      </c>
      <c r="G421" s="198" t="b">
        <v>0</v>
      </c>
      <c r="H421">
        <v>0</v>
      </c>
      <c r="I421">
        <v>1.252</v>
      </c>
      <c r="J421" s="438">
        <v>4</v>
      </c>
      <c r="K421">
        <v>300</v>
      </c>
      <c r="L421" s="5">
        <f t="shared" si="607"/>
        <v>186</v>
      </c>
      <c r="M421">
        <f t="shared" si="608"/>
        <v>1</v>
      </c>
      <c r="N421" s="198">
        <f>'Connection Box Details'!J28</f>
        <v>5.2907632585179859E-2</v>
      </c>
      <c r="O421" s="198" t="b">
        <v>0</v>
      </c>
      <c r="P421">
        <f t="shared" si="609"/>
        <v>0.61428571428571432</v>
      </c>
      <c r="Q421">
        <v>2.1142857142857143</v>
      </c>
      <c r="R421" s="434">
        <v>4</v>
      </c>
      <c r="S421" s="6">
        <v>300</v>
      </c>
      <c r="T421" s="5">
        <f t="shared" si="610"/>
        <v>139</v>
      </c>
      <c r="U421">
        <f t="shared" si="611"/>
        <v>1</v>
      </c>
      <c r="V421" s="198">
        <f>'Connection Box Details'!J20</f>
        <v>3.965786833474555E-2</v>
      </c>
      <c r="W421" s="198"/>
      <c r="X421">
        <f t="shared" si="612"/>
        <v>1.6840000000000002</v>
      </c>
      <c r="Y421">
        <v>3.1840000000000002</v>
      </c>
      <c r="Z421" s="157">
        <v>4</v>
      </c>
      <c r="AA421" s="6">
        <v>300</v>
      </c>
      <c r="AB421" s="5">
        <f t="shared" si="613"/>
        <v>246</v>
      </c>
      <c r="AC421">
        <f t="shared" si="614"/>
        <v>1</v>
      </c>
      <c r="AD421" s="198">
        <f>'Optional Pressure Dampers'!I15</f>
        <v>7.0215381205895266E-2</v>
      </c>
      <c r="AE421" s="198">
        <f t="shared" si="615"/>
        <v>400</v>
      </c>
      <c r="AF421">
        <f t="shared" si="616"/>
        <v>1.6840000000000002</v>
      </c>
      <c r="AG421" s="435">
        <v>3.1840000000000002</v>
      </c>
      <c r="AM421" s="157">
        <v>4</v>
      </c>
      <c r="AN421" s="6">
        <v>300</v>
      </c>
      <c r="AO421" s="5">
        <f t="shared" si="617"/>
        <v>246</v>
      </c>
      <c r="AP421">
        <f t="shared" si="618"/>
        <v>1</v>
      </c>
      <c r="AQ421" s="198">
        <f>'Optional Pressure Dampers'!I15</f>
        <v>7.0215381205895266E-2</v>
      </c>
      <c r="AR421" s="198">
        <f t="shared" si="619"/>
        <v>400</v>
      </c>
      <c r="AS421">
        <f t="shared" si="620"/>
        <v>1.6840000000000002</v>
      </c>
      <c r="AT421" s="435">
        <v>3.1840000000000002</v>
      </c>
    </row>
    <row r="422" spans="2:49" x14ac:dyDescent="0.25">
      <c r="B422" s="434">
        <v>5</v>
      </c>
      <c r="C422">
        <v>350</v>
      </c>
      <c r="D422" s="5">
        <f t="shared" si="605"/>
        <v>293</v>
      </c>
      <c r="E422">
        <f t="shared" si="606"/>
        <v>1</v>
      </c>
      <c r="F422" s="198">
        <f>'Connection Box Details'!J38</f>
        <v>8.35586689530851E-2</v>
      </c>
      <c r="G422" s="198" t="b">
        <v>0</v>
      </c>
      <c r="H422">
        <v>0</v>
      </c>
      <c r="I422">
        <v>1.6240000000000001</v>
      </c>
      <c r="J422" s="438">
        <v>5</v>
      </c>
      <c r="K422">
        <v>350</v>
      </c>
      <c r="L422" s="5">
        <f t="shared" si="607"/>
        <v>223</v>
      </c>
      <c r="M422">
        <f t="shared" si="608"/>
        <v>1</v>
      </c>
      <c r="N422" s="198">
        <f>'Connection Box Details'!J29</f>
        <v>6.3429937384810647E-2</v>
      </c>
      <c r="O422" s="198" t="b">
        <v>0</v>
      </c>
      <c r="P422">
        <f t="shared" si="609"/>
        <v>1.06</v>
      </c>
      <c r="Q422">
        <v>2.56</v>
      </c>
      <c r="R422" s="434">
        <v>5</v>
      </c>
      <c r="S422" t="s">
        <v>260</v>
      </c>
      <c r="T422" s="5"/>
      <c r="Z422" s="157">
        <v>5</v>
      </c>
      <c r="AA422" t="s">
        <v>260</v>
      </c>
      <c r="AB422" s="5"/>
      <c r="AD422" s="198"/>
      <c r="AE422" s="198"/>
      <c r="AG422" s="435"/>
      <c r="AM422" s="157">
        <v>5</v>
      </c>
      <c r="AN422" t="s">
        <v>260</v>
      </c>
      <c r="AO422" s="5"/>
      <c r="AQ422" s="198"/>
      <c r="AR422" s="198"/>
      <c r="AT422" s="435"/>
    </row>
    <row r="423" spans="2:49" ht="15.75" thickBot="1" x14ac:dyDescent="0.3">
      <c r="B423" s="209">
        <v>6</v>
      </c>
      <c r="C423" s="436" t="s">
        <v>260</v>
      </c>
      <c r="D423" s="436"/>
      <c r="E423" s="436"/>
      <c r="F423" s="436"/>
      <c r="G423" s="436"/>
      <c r="H423" s="436"/>
      <c r="I423" s="436"/>
      <c r="J423" s="439">
        <v>6</v>
      </c>
      <c r="K423" s="440" t="s">
        <v>260</v>
      </c>
      <c r="L423" s="436"/>
      <c r="M423" s="436"/>
      <c r="N423" s="436"/>
      <c r="O423" s="436"/>
      <c r="P423" s="436"/>
      <c r="Q423" s="436"/>
      <c r="R423" s="209"/>
      <c r="S423" s="436"/>
      <c r="T423" s="210"/>
      <c r="U423" s="436"/>
      <c r="V423" s="436"/>
      <c r="W423" s="436"/>
      <c r="X423" s="436"/>
      <c r="Y423" s="436"/>
      <c r="Z423" s="587"/>
      <c r="AA423" s="436"/>
      <c r="AB423" s="210"/>
      <c r="AC423" s="436"/>
      <c r="AD423" s="436"/>
      <c r="AE423" s="436"/>
      <c r="AF423" s="436"/>
      <c r="AG423" s="437"/>
      <c r="AM423" s="587"/>
      <c r="AN423" s="436"/>
      <c r="AO423" s="210"/>
      <c r="AP423" s="436"/>
      <c r="AQ423" s="436"/>
      <c r="AR423" s="436"/>
      <c r="AS423" s="436"/>
      <c r="AT423" s="437"/>
    </row>
    <row r="424" spans="2:49" x14ac:dyDescent="0.25">
      <c r="D424" s="5"/>
      <c r="J424" s="6"/>
      <c r="L424" s="5"/>
      <c r="S424" s="6"/>
      <c r="Z424" s="157"/>
      <c r="AM424" s="157"/>
    </row>
    <row r="425" spans="2:49" x14ac:dyDescent="0.25">
      <c r="C425" s="6"/>
      <c r="J425" s="6"/>
      <c r="K425" s="6"/>
      <c r="Z425" s="157"/>
      <c r="AM425" s="157"/>
    </row>
    <row r="426" spans="2:49" x14ac:dyDescent="0.25">
      <c r="D426" t="s">
        <v>259</v>
      </c>
      <c r="E426">
        <f>B423-SUM(E418:E422)</f>
        <v>2</v>
      </c>
      <c r="L426" t="s">
        <v>259</v>
      </c>
      <c r="M426">
        <f>J423-SUM(M418:M425)</f>
        <v>2</v>
      </c>
      <c r="T426" t="s">
        <v>440</v>
      </c>
      <c r="U426">
        <f>R422-SUM(U418:U424)</f>
        <v>3</v>
      </c>
      <c r="Z426" s="157"/>
      <c r="AB426" t="s">
        <v>880</v>
      </c>
      <c r="AC426">
        <f>Z422-SUM(AC418:AC424)</f>
        <v>2</v>
      </c>
      <c r="AD426">
        <f>VLOOKUP(AC426,Z417:AG422,6,0)</f>
        <v>300</v>
      </c>
      <c r="AH426" t="s">
        <v>881</v>
      </c>
      <c r="AI426">
        <f>AC426-1</f>
        <v>1</v>
      </c>
      <c r="AJ426">
        <f>VLOOKUP(AI426,Z418:AG423,6,0)</f>
        <v>250</v>
      </c>
      <c r="AM426" s="157"/>
      <c r="AO426" t="s">
        <v>880</v>
      </c>
      <c r="AP426">
        <f>AM422-SUM(AP418:AP424)</f>
        <v>2</v>
      </c>
      <c r="AQ426">
        <f>VLOOKUP(AP426,AM417:AT422,6,0)</f>
        <v>300</v>
      </c>
      <c r="AU426" t="s">
        <v>881</v>
      </c>
      <c r="AV426">
        <f>AP426-1</f>
        <v>1</v>
      </c>
      <c r="AW426">
        <f>VLOOKUP(AV426,AM418:AT423,6,0)</f>
        <v>250</v>
      </c>
    </row>
    <row r="427" spans="2:49" x14ac:dyDescent="0.25">
      <c r="D427" t="s">
        <v>172</v>
      </c>
      <c r="E427">
        <f>VLOOKUP(E426,B418:F423,2,0)</f>
        <v>200</v>
      </c>
      <c r="L427" t="s">
        <v>172</v>
      </c>
      <c r="M427">
        <f>VLOOKUP(M426,J418:N425,2,0)</f>
        <v>200</v>
      </c>
      <c r="T427" t="s">
        <v>172</v>
      </c>
      <c r="U427">
        <f>VLOOKUP(U426,R418:V424,2,0)</f>
        <v>250</v>
      </c>
      <c r="Z427" s="157"/>
      <c r="AB427" t="s">
        <v>172</v>
      </c>
      <c r="AC427">
        <f>VLOOKUP(AC426,Z418:AD424,2,0)</f>
        <v>200</v>
      </c>
      <c r="AD427" t="str">
        <f>"H"&amp;VLOOKUP(AC426,Z418:AG423,6,0)</f>
        <v>H300</v>
      </c>
      <c r="AH427" t="s">
        <v>172</v>
      </c>
      <c r="AI427">
        <f>VLOOKUP(AI426,Z417:AD423,2,0)</f>
        <v>150</v>
      </c>
      <c r="AJ427" t="str">
        <f>"H"&amp;VLOOKUP(AI426,Z418:AG423,6,0)</f>
        <v>H250</v>
      </c>
      <c r="AM427" s="157"/>
      <c r="AO427" t="s">
        <v>172</v>
      </c>
      <c r="AP427">
        <f>VLOOKUP(AP426,AM418:AQ424,2,0)</f>
        <v>200</v>
      </c>
      <c r="AQ427" t="str">
        <f>"H"&amp;VLOOKUP(AP426,AM418:AT423,6,0)</f>
        <v>H300</v>
      </c>
      <c r="AU427" t="s">
        <v>172</v>
      </c>
      <c r="AV427">
        <f>VLOOKUP(AV426,AM417:AQ423,2,0)</f>
        <v>150</v>
      </c>
      <c r="AW427" t="str">
        <f>"H"&amp;VLOOKUP(AV426,AM418:AT423,6,0)</f>
        <v>H250</v>
      </c>
    </row>
    <row r="428" spans="2:49" x14ac:dyDescent="0.25">
      <c r="D428" t="s">
        <v>592</v>
      </c>
      <c r="E428">
        <f>VLOOKUP(E426,B418:F423,5,0)</f>
        <v>3.1102552668702352E-2</v>
      </c>
      <c r="L428" t="s">
        <v>592</v>
      </c>
      <c r="M428">
        <f>VLOOKUP(M426,J418:N425,5,0)</f>
        <v>3.0293069079278843E-2</v>
      </c>
      <c r="T428" t="s">
        <v>592</v>
      </c>
      <c r="U428">
        <f>VLOOKUP(U426,R418:V424,5,0)</f>
        <v>3.231978454180915E-2</v>
      </c>
      <c r="Z428" s="157"/>
      <c r="AB428" t="s">
        <v>592</v>
      </c>
      <c r="AC428">
        <f>VLOOKUP(AC426,Z418:AD424,5,0)</f>
        <v>3.1102552668702352E-2</v>
      </c>
      <c r="AH428" t="s">
        <v>592</v>
      </c>
      <c r="AI428">
        <f>VLOOKUP(AI426,Z418:AD424,5,0)</f>
        <v>1.7436624625586747E-2</v>
      </c>
      <c r="AM428" s="157"/>
      <c r="AO428" t="s">
        <v>592</v>
      </c>
      <c r="AP428">
        <f>VLOOKUP(AP426,AM418:AQ424,5,0)</f>
        <v>3.1102552668702352E-2</v>
      </c>
      <c r="AU428" t="s">
        <v>592</v>
      </c>
      <c r="AV428">
        <f>VLOOKUP(AV426,AM418:AQ424,5,0)</f>
        <v>1.7436624625586747E-2</v>
      </c>
    </row>
    <row r="429" spans="2:49" x14ac:dyDescent="0.25">
      <c r="D429" t="s">
        <v>231</v>
      </c>
      <c r="E429">
        <f>$C$14/1000/E428</f>
        <v>3.2151701844275715</v>
      </c>
      <c r="L429" t="s">
        <v>231</v>
      </c>
      <c r="M429">
        <f>$C$14/1000/M428</f>
        <v>3.3010851339721898</v>
      </c>
      <c r="T429" t="s">
        <v>231</v>
      </c>
      <c r="U429">
        <f>$C$14/1000/U428</f>
        <v>3.0940800323293973</v>
      </c>
      <c r="Z429" s="157"/>
      <c r="AB429" t="s">
        <v>231</v>
      </c>
      <c r="AC429">
        <f>$C$14/1000/AC428</f>
        <v>3.2151701844275715</v>
      </c>
      <c r="AH429" t="s">
        <v>231</v>
      </c>
      <c r="AI429">
        <f>$C$14/1000/AI428</f>
        <v>5.7350549287652042</v>
      </c>
      <c r="AM429" s="157"/>
      <c r="AO429" t="s">
        <v>231</v>
      </c>
      <c r="AP429">
        <f>$C$14/1000/AP428</f>
        <v>3.2151701844275715</v>
      </c>
      <c r="AU429" t="s">
        <v>231</v>
      </c>
      <c r="AV429">
        <f>$C$14/1000/AV428</f>
        <v>5.7350549287652042</v>
      </c>
    </row>
    <row r="430" spans="2:49" x14ac:dyDescent="0.25">
      <c r="D430" t="s">
        <v>590</v>
      </c>
      <c r="E430">
        <f>0.55*0.33</f>
        <v>0.18150000000000002</v>
      </c>
      <c r="L430" t="s">
        <v>590</v>
      </c>
      <c r="M430">
        <f>0.55*0.23</f>
        <v>0.12650000000000003</v>
      </c>
      <c r="T430" t="s">
        <v>590</v>
      </c>
      <c r="U430">
        <f>0.55*0.18</f>
        <v>9.9000000000000005E-2</v>
      </c>
      <c r="Z430" s="157"/>
      <c r="AB430" t="s">
        <v>590</v>
      </c>
      <c r="AC430">
        <f>0.55*(AC427/1000+0.08)</f>
        <v>0.15400000000000003</v>
      </c>
      <c r="AH430" t="s">
        <v>590</v>
      </c>
      <c r="AI430">
        <f>0.55*(AI427/1000+0.08)</f>
        <v>0.1265</v>
      </c>
      <c r="AM430" s="157"/>
      <c r="AO430" t="s">
        <v>590</v>
      </c>
      <c r="AP430">
        <f>0.55*(AP427/1000+0.08)</f>
        <v>0.15400000000000003</v>
      </c>
      <c r="AU430" t="s">
        <v>590</v>
      </c>
      <c r="AV430">
        <f>0.55*(AV427/1000+0.08)</f>
        <v>0.1265</v>
      </c>
    </row>
    <row r="431" spans="2:49" x14ac:dyDescent="0.25">
      <c r="D431" t="s">
        <v>591</v>
      </c>
      <c r="E431">
        <f>E428/E430</f>
        <v>0.17136392654932422</v>
      </c>
      <c r="L431" t="s">
        <v>591</v>
      </c>
      <c r="M431">
        <f>M428/M430</f>
        <v>0.2394709018124809</v>
      </c>
      <c r="T431" t="s">
        <v>591</v>
      </c>
      <c r="U431">
        <f>U428/U430</f>
        <v>0.32646247011928431</v>
      </c>
      <c r="Z431" s="157"/>
      <c r="AB431" t="s">
        <v>591</v>
      </c>
      <c r="AC431">
        <f>AC428/AC430</f>
        <v>0.20196462771884641</v>
      </c>
      <c r="AH431" t="s">
        <v>591</v>
      </c>
      <c r="AI431">
        <f>AI428/AI430</f>
        <v>0.13783892984653554</v>
      </c>
      <c r="AM431" s="157"/>
      <c r="AO431" t="s">
        <v>591</v>
      </c>
      <c r="AP431">
        <f>AP428/AP430</f>
        <v>0.20196462771884641</v>
      </c>
      <c r="AU431" t="s">
        <v>591</v>
      </c>
      <c r="AV431">
        <f>AV428/AV430</f>
        <v>0.13783892984653554</v>
      </c>
    </row>
    <row r="432" spans="2:49" x14ac:dyDescent="0.25">
      <c r="D432" t="s">
        <v>168</v>
      </c>
      <c r="E432">
        <f>6.2202*E431+3.3211</f>
        <v>4.3870178959221064</v>
      </c>
      <c r="L432" t="s">
        <v>168</v>
      </c>
      <c r="M432">
        <f>6.2202*M431+3.3211</f>
        <v>4.8106569034539941</v>
      </c>
      <c r="T432" t="s">
        <v>168</v>
      </c>
      <c r="U432">
        <f>6.2202*U431+3.3211</f>
        <v>5.3517618566359726</v>
      </c>
      <c r="Z432" s="157"/>
      <c r="AB432" t="s">
        <v>168</v>
      </c>
      <c r="AC432">
        <f>6.2202*AC431+3.3211</f>
        <v>4.5773603773367686</v>
      </c>
      <c r="AH432" t="s">
        <v>168</v>
      </c>
      <c r="AI432">
        <f>6.2202*AI431+3.3211</f>
        <v>4.1784857114314207</v>
      </c>
      <c r="AM432" s="157"/>
      <c r="AO432" t="s">
        <v>168</v>
      </c>
      <c r="AP432">
        <f>6.2202*AP431+3.3211</f>
        <v>4.5773603773367686</v>
      </c>
      <c r="AU432" t="s">
        <v>168</v>
      </c>
      <c r="AV432">
        <f>6.2202*AV431+3.3211</f>
        <v>4.1784857114314207</v>
      </c>
    </row>
    <row r="433" spans="3:49" x14ac:dyDescent="0.25">
      <c r="D433" t="s">
        <v>471</v>
      </c>
      <c r="E433">
        <f>0.4118*E431-0.7584</f>
        <v>-0.68783233504698826</v>
      </c>
      <c r="L433" t="s">
        <v>471</v>
      </c>
      <c r="M433">
        <f>0.4118*M431-0.7584</f>
        <v>-0.65978588263362037</v>
      </c>
      <c r="T433" t="s">
        <v>471</v>
      </c>
      <c r="U433">
        <f>0.4118*U431-0.7584</f>
        <v>-0.62396275480487873</v>
      </c>
      <c r="Z433" s="157"/>
      <c r="AB433" t="s">
        <v>471</v>
      </c>
      <c r="AC433">
        <f>0.4118*AC431-0.7584</f>
        <v>-0.67523096630537904</v>
      </c>
      <c r="AH433" t="s">
        <v>471</v>
      </c>
      <c r="AI433">
        <f>0.4118*AI431-0.7584</f>
        <v>-0.70163792868919661</v>
      </c>
      <c r="AM433" s="157"/>
      <c r="AO433" t="s">
        <v>471</v>
      </c>
      <c r="AP433">
        <f>0.4118*AP431-0.7584</f>
        <v>-0.67523096630537904</v>
      </c>
      <c r="AU433" t="s">
        <v>471</v>
      </c>
      <c r="AV433">
        <f>0.4118*AV431-0.7584</f>
        <v>-0.70163792868919661</v>
      </c>
    </row>
    <row r="434" spans="3:49" x14ac:dyDescent="0.25">
      <c r="D434" t="s">
        <v>593</v>
      </c>
      <c r="E434">
        <f>E432*$C$14^E433</f>
        <v>0.18471609378634346</v>
      </c>
      <c r="L434" t="s">
        <v>593</v>
      </c>
      <c r="M434">
        <f>M432*$C$14^M433</f>
        <v>0.23047966753816831</v>
      </c>
      <c r="T434" t="s">
        <v>593</v>
      </c>
      <c r="U434">
        <f>U432*$C$14^U433</f>
        <v>0.30239267740432552</v>
      </c>
      <c r="Z434" s="157"/>
      <c r="AB434" t="s">
        <v>593</v>
      </c>
      <c r="AC434">
        <f>AC432*$C$14^AC433</f>
        <v>0.20424581816922369</v>
      </c>
      <c r="AH434" t="s">
        <v>593</v>
      </c>
      <c r="AI434">
        <f>AI432*$C$14^AI433</f>
        <v>0.16509847587097853</v>
      </c>
      <c r="AM434" s="157"/>
      <c r="AO434" t="s">
        <v>593</v>
      </c>
      <c r="AP434">
        <f>AP432*$C$14^AP433</f>
        <v>0.20424581816922369</v>
      </c>
      <c r="AU434" t="s">
        <v>593</v>
      </c>
      <c r="AV434">
        <f>AV432*$C$14^AV433</f>
        <v>0.16509847587097853</v>
      </c>
    </row>
    <row r="435" spans="3:49" x14ac:dyDescent="0.25">
      <c r="D435" t="s">
        <v>663</v>
      </c>
      <c r="E435">
        <f>1-E434</f>
        <v>0.81528390621365654</v>
      </c>
      <c r="L435" t="s">
        <v>660</v>
      </c>
      <c r="M435">
        <f>1-M434</f>
        <v>0.76952033246183171</v>
      </c>
      <c r="T435" t="s">
        <v>660</v>
      </c>
      <c r="U435">
        <f>1-U434</f>
        <v>0.69760732259567448</v>
      </c>
      <c r="Z435" s="157"/>
      <c r="AB435" t="s">
        <v>660</v>
      </c>
      <c r="AC435">
        <f>1-AC434</f>
        <v>0.79575418183077629</v>
      </c>
      <c r="AH435" t="s">
        <v>660</v>
      </c>
      <c r="AI435">
        <f>1-AI434</f>
        <v>0.83490152412902141</v>
      </c>
      <c r="AM435" s="157"/>
      <c r="AO435" t="s">
        <v>660</v>
      </c>
      <c r="AP435">
        <f>1-AP434</f>
        <v>0.79575418183077629</v>
      </c>
      <c r="AU435" t="s">
        <v>660</v>
      </c>
      <c r="AV435">
        <f>1-AV434</f>
        <v>0.83490152412902141</v>
      </c>
    </row>
    <row r="436" spans="3:49" x14ac:dyDescent="0.25">
      <c r="D436" t="s">
        <v>594</v>
      </c>
      <c r="E436">
        <f>$C$412*0.5*1.2*($C$14/1000/E428)^2</f>
        <v>21.574379856283898</v>
      </c>
      <c r="L436" t="s">
        <v>594</v>
      </c>
      <c r="M436">
        <f>$C$412*0.5*1.2*($C$14/1000/M428)^2</f>
        <v>22.742795118300567</v>
      </c>
      <c r="T436" t="s">
        <v>594</v>
      </c>
      <c r="U436">
        <f>$C$412*0.5*1.2*($C$14/1000/U428)^2</f>
        <v>19.979907605718072</v>
      </c>
      <c r="Z436" s="157"/>
      <c r="AB436" t="s">
        <v>594</v>
      </c>
      <c r="AC436">
        <f>$C$412*0.5*1.2*($C$14/1000/AC428)^2</f>
        <v>21.574379856283898</v>
      </c>
      <c r="AH436" t="s">
        <v>594</v>
      </c>
      <c r="AI436">
        <f>$C$412*0.5*1.2*($C$14/1000/AI428)^2</f>
        <v>68.644469492734416</v>
      </c>
      <c r="AM436" s="157"/>
      <c r="AO436" t="s">
        <v>594</v>
      </c>
      <c r="AP436">
        <f>$C$412*0.5*1.2*($C$14/1000/AP428)^2</f>
        <v>21.574379856283898</v>
      </c>
      <c r="AU436" t="s">
        <v>594</v>
      </c>
      <c r="AV436">
        <f>$C$412*0.5*1.2*($C$14/1000/AV428)^2</f>
        <v>68.644469492734416</v>
      </c>
    </row>
    <row r="437" spans="3:49" x14ac:dyDescent="0.25">
      <c r="D437" t="s">
        <v>595</v>
      </c>
      <c r="E437">
        <f>$C$412*0.5*1.2*($C$14/1000/E430)^2</f>
        <v>0.63354450819141861</v>
      </c>
      <c r="L437" t="s">
        <v>595</v>
      </c>
      <c r="M437">
        <f>$C$412*0.5*1.2*($C$14/1000/M430)^2</f>
        <v>1.3042154431388557</v>
      </c>
      <c r="T437" t="s">
        <v>595</v>
      </c>
      <c r="U437">
        <f>$C$412*0.5*1.2*($C$14/1000/U430)^2</f>
        <v>2.129413485865602</v>
      </c>
      <c r="Z437" s="157"/>
      <c r="AB437" t="s">
        <v>595</v>
      </c>
      <c r="AC437">
        <f>$C$412*0.5*1.2*($C$14/1000/AC430)^2</f>
        <v>0.88001271609751863</v>
      </c>
      <c r="AH437" t="s">
        <v>595</v>
      </c>
      <c r="AI437">
        <f>$C$412*0.5*1.2*($C$14/1000/AI430)^2</f>
        <v>1.304215443138856</v>
      </c>
      <c r="AM437" s="157"/>
      <c r="AO437" t="s">
        <v>595</v>
      </c>
      <c r="AP437">
        <f>$C$412*0.5*1.2*($C$14/1000/AP430)^2</f>
        <v>0.88001271609751863</v>
      </c>
      <c r="AU437" t="s">
        <v>595</v>
      </c>
      <c r="AV437">
        <f>$C$412*0.5*1.2*($C$14/1000/AV430)^2</f>
        <v>1.304215443138856</v>
      </c>
    </row>
    <row r="438" spans="3:49" x14ac:dyDescent="0.25">
      <c r="D438" t="s">
        <v>597</v>
      </c>
      <c r="E438">
        <f>E434*E436+E435*E437</f>
        <v>4.5016538143140457</v>
      </c>
      <c r="L438" t="s">
        <v>597</v>
      </c>
      <c r="M438">
        <f>M434*M436+M435*M437</f>
        <v>6.2453721591606595</v>
      </c>
      <c r="T438" t="s">
        <v>597</v>
      </c>
      <c r="U438">
        <f>U434*U436+U435*U437</f>
        <v>7.5272721957579591</v>
      </c>
      <c r="Z438" s="157"/>
      <c r="AB438" t="s">
        <v>597</v>
      </c>
      <c r="AC438">
        <f>AC434*AC436+AC435*AC437</f>
        <v>5.1067506641391835</v>
      </c>
      <c r="AH438" t="s">
        <v>597</v>
      </c>
      <c r="AI438">
        <f>AI434*AI436+AI435*AI437</f>
        <v>12.421988751491574</v>
      </c>
      <c r="AM438" s="157"/>
      <c r="AO438" t="s">
        <v>597</v>
      </c>
      <c r="AP438">
        <f>AP434*AP436+AP435*AP437</f>
        <v>5.1067506641391835</v>
      </c>
      <c r="AU438" t="s">
        <v>597</v>
      </c>
      <c r="AV438">
        <f>AV434*AV436+AV435*AV437</f>
        <v>12.421988751491574</v>
      </c>
    </row>
    <row r="439" spans="3:49" x14ac:dyDescent="0.25">
      <c r="D439" t="s">
        <v>607</v>
      </c>
      <c r="E439">
        <v>0</v>
      </c>
      <c r="F439" s="212" t="s">
        <v>610</v>
      </c>
      <c r="G439" s="212"/>
      <c r="L439" t="s">
        <v>607</v>
      </c>
      <c r="M439">
        <v>0</v>
      </c>
      <c r="N439" s="212" t="s">
        <v>610</v>
      </c>
      <c r="O439" s="212"/>
      <c r="T439" t="s">
        <v>607</v>
      </c>
      <c r="U439">
        <v>3</v>
      </c>
      <c r="V439" s="212" t="s">
        <v>941</v>
      </c>
      <c r="W439" s="212"/>
      <c r="Z439" s="157"/>
      <c r="AB439" t="s">
        <v>607</v>
      </c>
      <c r="AC439">
        <v>0</v>
      </c>
      <c r="AD439" s="212" t="s">
        <v>610</v>
      </c>
      <c r="AE439" s="212"/>
      <c r="AH439" t="s">
        <v>607</v>
      </c>
      <c r="AI439">
        <v>0</v>
      </c>
      <c r="AJ439" s="212" t="s">
        <v>610</v>
      </c>
      <c r="AM439" s="157"/>
      <c r="AO439" t="s">
        <v>607</v>
      </c>
      <c r="AP439">
        <v>0</v>
      </c>
      <c r="AQ439" s="212" t="s">
        <v>610</v>
      </c>
      <c r="AR439" s="212"/>
      <c r="AU439" t="s">
        <v>607</v>
      </c>
      <c r="AV439">
        <v>0</v>
      </c>
      <c r="AW439" s="212" t="s">
        <v>610</v>
      </c>
    </row>
    <row r="440" spans="3:49" x14ac:dyDescent="0.25">
      <c r="D440" t="s">
        <v>478</v>
      </c>
      <c r="E440">
        <f>10*LOG(E438/$E$438)+E439</f>
        <v>0</v>
      </c>
      <c r="L440" t="s">
        <v>478</v>
      </c>
      <c r="M440">
        <f>10*LOG(M438/$E$438)+M439</f>
        <v>1.4218622902878146</v>
      </c>
      <c r="T440" t="s">
        <v>478</v>
      </c>
      <c r="U440">
        <f>10*LOG(U438/$E$438)+U439</f>
        <v>5.2326552707811551</v>
      </c>
      <c r="Z440" s="157"/>
      <c r="AB440" t="s">
        <v>478</v>
      </c>
      <c r="AC440">
        <f>10*LOG(AC438/$E$438)+AC439+AB461</f>
        <v>2.157371609088865</v>
      </c>
      <c r="AD440" t="s">
        <v>929</v>
      </c>
      <c r="AH440" t="s">
        <v>478</v>
      </c>
      <c r="AI440">
        <f>10*LOG(AI438/$E$438)+AI439+AH461</f>
        <v>6.0178363850046557</v>
      </c>
      <c r="AJ440" t="s">
        <v>929</v>
      </c>
      <c r="AM440" s="157"/>
      <c r="AO440" t="s">
        <v>478</v>
      </c>
      <c r="AP440">
        <f>10*LOG(AP438/$E$438)+AP439+AO461</f>
        <v>2.157371609088865</v>
      </c>
      <c r="AQ440" t="s">
        <v>929</v>
      </c>
      <c r="AU440" t="s">
        <v>478</v>
      </c>
      <c r="AV440">
        <f>10*LOG(AV438/$E$438)+AV439+AU461</f>
        <v>6.0178363850046557</v>
      </c>
      <c r="AW440" t="s">
        <v>929</v>
      </c>
    </row>
    <row r="441" spans="3:49" x14ac:dyDescent="0.25">
      <c r="Z441" s="157"/>
      <c r="AM441" s="157"/>
    </row>
    <row r="442" spans="3:49" x14ac:dyDescent="0.25">
      <c r="C442" t="s">
        <v>538</v>
      </c>
      <c r="K442" t="s">
        <v>538</v>
      </c>
      <c r="S442" t="s">
        <v>538</v>
      </c>
      <c r="Z442" s="157"/>
      <c r="AA442" t="s">
        <v>538</v>
      </c>
      <c r="AG442" t="s">
        <v>538</v>
      </c>
      <c r="AM442" s="157"/>
      <c r="AN442" t="s">
        <v>538</v>
      </c>
      <c r="AT442" t="s">
        <v>538</v>
      </c>
    </row>
    <row r="443" spans="3:49" x14ac:dyDescent="0.25">
      <c r="C443" t="s">
        <v>172</v>
      </c>
      <c r="D443" t="s">
        <v>661</v>
      </c>
      <c r="E443">
        <f>$C$14*E434</f>
        <v>18.471609378634348</v>
      </c>
      <c r="K443" t="s">
        <v>172</v>
      </c>
      <c r="L443" t="s">
        <v>661</v>
      </c>
      <c r="M443">
        <f>$C$14*M434</f>
        <v>23.04796675381683</v>
      </c>
      <c r="S443" t="s">
        <v>172</v>
      </c>
      <c r="T443" t="s">
        <v>661</v>
      </c>
      <c r="U443">
        <f>$C$14*U434</f>
        <v>30.239267740432553</v>
      </c>
      <c r="Z443" s="157"/>
      <c r="AA443" t="s">
        <v>172</v>
      </c>
      <c r="AB443" t="s">
        <v>661</v>
      </c>
      <c r="AC443">
        <f>$C$14*AC434</f>
        <v>20.42458181692237</v>
      </c>
      <c r="AG443" t="s">
        <v>172</v>
      </c>
      <c r="AH443" t="s">
        <v>661</v>
      </c>
      <c r="AI443">
        <f>$C$14*AI434</f>
        <v>16.509847587097852</v>
      </c>
      <c r="AM443" s="157"/>
      <c r="AN443" t="s">
        <v>172</v>
      </c>
      <c r="AO443" t="s">
        <v>661</v>
      </c>
      <c r="AP443">
        <f>$C$14*AP434</f>
        <v>20.42458181692237</v>
      </c>
      <c r="AT443" t="s">
        <v>172</v>
      </c>
      <c r="AU443" t="s">
        <v>661</v>
      </c>
      <c r="AV443">
        <f>$C$14*AV434</f>
        <v>16.509847587097852</v>
      </c>
    </row>
    <row r="444" spans="3:49" x14ac:dyDescent="0.25">
      <c r="D444" s="487" t="s">
        <v>649</v>
      </c>
      <c r="E444" s="488">
        <f>E443/1000/E428/($C$410)</f>
        <v>1.1421032256264971</v>
      </c>
      <c r="L444" s="487" t="s">
        <v>649</v>
      </c>
      <c r="M444" s="488">
        <f t="shared" ref="M444" si="621">M443/1000/M428/($C$410)</f>
        <v>1.4631403926790385</v>
      </c>
      <c r="T444" s="487" t="s">
        <v>649</v>
      </c>
      <c r="U444" s="488">
        <f t="shared" ref="U444" si="622">U443/1000/U428/($C$410)</f>
        <v>1.7992829713064391</v>
      </c>
      <c r="Z444" s="157"/>
      <c r="AB444" s="487" t="s">
        <v>649</v>
      </c>
      <c r="AC444" s="488">
        <f t="shared" ref="AC444" si="623">AC443/1000/AC428/($C$410)</f>
        <v>1.2628558939840446</v>
      </c>
      <c r="AH444" s="487" t="s">
        <v>649</v>
      </c>
      <c r="AI444" s="488">
        <f t="shared" ref="AI444" si="624">AI443/1000/AI428/($C$410)</f>
        <v>1.8208631303374585</v>
      </c>
      <c r="AM444" s="157"/>
      <c r="AO444" s="487" t="s">
        <v>649</v>
      </c>
      <c r="AP444" s="488">
        <f t="shared" ref="AP444" si="625">AP443/1000/AP428/($C$410)</f>
        <v>1.2628558939840446</v>
      </c>
      <c r="AU444" s="487" t="s">
        <v>649</v>
      </c>
      <c r="AV444" s="488">
        <f t="shared" ref="AV444" si="626">AV443/1000/AV428/($C$410)</f>
        <v>1.8208631303374585</v>
      </c>
    </row>
    <row r="445" spans="3:49" x14ac:dyDescent="0.25">
      <c r="D445" s="487" t="s">
        <v>653</v>
      </c>
      <c r="E445" s="488">
        <f>E428*$C$410/(4.909*10^-6)</f>
        <v>3294.6277017162811</v>
      </c>
      <c r="L445" s="487" t="s">
        <v>653</v>
      </c>
      <c r="M445" s="488">
        <f>M428*$C$410/(4.909*10^-6)</f>
        <v>3208.8808150794457</v>
      </c>
      <c r="T445" s="487" t="s">
        <v>653</v>
      </c>
      <c r="U445" s="488">
        <f>U428*$C$410/(4.909*10^-6)</f>
        <v>3423.566502697242</v>
      </c>
      <c r="Z445" s="157"/>
      <c r="AB445" s="487" t="s">
        <v>653</v>
      </c>
      <c r="AC445" s="488">
        <f>AC428*$C$410/(4.909*10^-6)</f>
        <v>3294.6277017162811</v>
      </c>
      <c r="AH445" s="487" t="s">
        <v>653</v>
      </c>
      <c r="AI445" s="488">
        <f>AI428*$C$410/(4.909*10^-6)</f>
        <v>1847.0248126512749</v>
      </c>
      <c r="AM445" s="157"/>
      <c r="AO445" s="487" t="s">
        <v>653</v>
      </c>
      <c r="AP445" s="488">
        <f>AP428*$C$410/(4.909*10^-6)</f>
        <v>3294.6277017162811</v>
      </c>
      <c r="AU445" s="487" t="s">
        <v>653</v>
      </c>
      <c r="AV445" s="488">
        <f>AV428*$C$410/(4.909*10^-6)</f>
        <v>1847.0248126512749</v>
      </c>
    </row>
    <row r="446" spans="3:49" x14ac:dyDescent="0.25">
      <c r="D446" s="487" t="s">
        <v>650</v>
      </c>
      <c r="E446">
        <f>4.328*LN(E445)</f>
        <v>35.057009698939922</v>
      </c>
      <c r="L446" s="487" t="s">
        <v>650</v>
      </c>
      <c r="M446">
        <f>4.328*LN(M445)</f>
        <v>34.942876218229969</v>
      </c>
      <c r="T446" s="487" t="s">
        <v>650</v>
      </c>
      <c r="U446">
        <f>4.328*LN(U445)</f>
        <v>35.223160199485321</v>
      </c>
      <c r="Z446" s="157"/>
      <c r="AB446" s="487" t="s">
        <v>650</v>
      </c>
      <c r="AC446">
        <f>4.328*LN(AC445)</f>
        <v>35.057009698939922</v>
      </c>
      <c r="AH446" s="487" t="s">
        <v>650</v>
      </c>
      <c r="AI446">
        <f>4.328*LN(AI445)</f>
        <v>32.552322360388608</v>
      </c>
      <c r="AM446" s="157"/>
      <c r="AO446" s="487" t="s">
        <v>650</v>
      </c>
      <c r="AP446">
        <f>4.328*LN(AP445)</f>
        <v>35.057009698939922</v>
      </c>
      <c r="AU446" s="487" t="s">
        <v>650</v>
      </c>
      <c r="AV446">
        <f>4.328*LN(AV445)</f>
        <v>32.552322360388608</v>
      </c>
    </row>
    <row r="447" spans="3:49" x14ac:dyDescent="0.25">
      <c r="D447" t="s">
        <v>651</v>
      </c>
      <c r="E447">
        <f>($C$411+31*LN(E444)+E446)</f>
        <v>-14.573973882753883</v>
      </c>
      <c r="L447" t="s">
        <v>651</v>
      </c>
      <c r="M447">
        <f>($C$411+31*LN(M444)+M446)</f>
        <v>-7.0089863135332848</v>
      </c>
      <c r="T447" t="s">
        <v>651</v>
      </c>
      <c r="U447">
        <f>($C$411+31*LN(U444)+U446)</f>
        <v>-0.31780447627581765</v>
      </c>
      <c r="Z447" s="157"/>
      <c r="AB447" t="s">
        <v>651</v>
      </c>
      <c r="AC447">
        <f>($C$411+31*LN(AC444)+AC446)</f>
        <v>-11.458342402380339</v>
      </c>
      <c r="AH447" t="s">
        <v>651</v>
      </c>
      <c r="AI447">
        <f>($C$411+31*LN(AI444)+AI446)</f>
        <v>-2.6190479202915</v>
      </c>
      <c r="AM447" s="157"/>
      <c r="AO447" t="s">
        <v>651</v>
      </c>
      <c r="AP447">
        <f>($C$411+31*LN(AP444)+AP446)</f>
        <v>-11.458342402380339</v>
      </c>
      <c r="AU447" t="s">
        <v>651</v>
      </c>
      <c r="AV447">
        <f>($C$411+31*LN(AV444)+AV446)</f>
        <v>-2.6190479202915</v>
      </c>
    </row>
    <row r="448" spans="3:49" x14ac:dyDescent="0.25">
      <c r="C448" t="s">
        <v>654</v>
      </c>
      <c r="D448" t="s">
        <v>662</v>
      </c>
      <c r="E448">
        <f>$C$14*E435</f>
        <v>81.528390621365659</v>
      </c>
      <c r="K448" t="s">
        <v>654</v>
      </c>
      <c r="L448" t="s">
        <v>662</v>
      </c>
      <c r="M448">
        <f>$C$14*M435</f>
        <v>76.952033246183177</v>
      </c>
      <c r="S448" t="s">
        <v>654</v>
      </c>
      <c r="T448" t="s">
        <v>662</v>
      </c>
      <c r="U448">
        <f>$C$14*U435</f>
        <v>69.760732259567447</v>
      </c>
      <c r="Z448" s="157"/>
      <c r="AA448" t="s">
        <v>654</v>
      </c>
      <c r="AB448" t="s">
        <v>662</v>
      </c>
      <c r="AC448">
        <f>$C$14*AC435</f>
        <v>79.57541818307763</v>
      </c>
      <c r="AG448" t="s">
        <v>654</v>
      </c>
      <c r="AH448" t="s">
        <v>662</v>
      </c>
      <c r="AI448">
        <f>$C$14*AI435</f>
        <v>83.490152412902148</v>
      </c>
      <c r="AM448" s="157"/>
      <c r="AN448" t="s">
        <v>654</v>
      </c>
      <c r="AO448" t="s">
        <v>662</v>
      </c>
      <c r="AP448">
        <f>$C$14*AP435</f>
        <v>79.57541818307763</v>
      </c>
      <c r="AT448" t="s">
        <v>654</v>
      </c>
      <c r="AU448" t="s">
        <v>662</v>
      </c>
      <c r="AV448">
        <f>$C$14*AV435</f>
        <v>83.490152412902148</v>
      </c>
    </row>
    <row r="449" spans="1:49" x14ac:dyDescent="0.25">
      <c r="D449" s="487" t="s">
        <v>649</v>
      </c>
      <c r="E449" s="488">
        <f>E448/1000/E430/($C$410)</f>
        <v>0.86383122082396324</v>
      </c>
      <c r="L449" s="487" t="s">
        <v>649</v>
      </c>
      <c r="M449" s="488">
        <f t="shared" ref="M449" si="627">M448/1000/M430/($C$410)</f>
        <v>1.1698393622101422</v>
      </c>
      <c r="T449" s="487" t="s">
        <v>649</v>
      </c>
      <c r="U449" s="488">
        <f t="shared" ref="U449" si="628">U448/1000/U430/($C$410)</f>
        <v>1.3551035792456767</v>
      </c>
      <c r="Z449" s="157"/>
      <c r="AB449" s="487" t="s">
        <v>649</v>
      </c>
      <c r="AC449" s="488">
        <f t="shared" ref="AC449" si="629">AC448/1000/AC430/($C$410)</f>
        <v>0.99369902826020995</v>
      </c>
      <c r="AH449" s="487" t="s">
        <v>649</v>
      </c>
      <c r="AI449" s="488">
        <f t="shared" ref="AI449" si="630">AI448/1000/AI430/($C$410)</f>
        <v>1.2692330862405312</v>
      </c>
      <c r="AM449" s="157"/>
      <c r="AO449" s="487" t="s">
        <v>649</v>
      </c>
      <c r="AP449" s="488">
        <f t="shared" ref="AP449" si="631">AP448/1000/AP430/($C$410)</f>
        <v>0.99369902826020995</v>
      </c>
      <c r="AU449" s="487" t="s">
        <v>649</v>
      </c>
      <c r="AV449" s="488">
        <f t="shared" ref="AV449" si="632">AV448/1000/AV430/($C$410)</f>
        <v>1.2692330862405312</v>
      </c>
    </row>
    <row r="450" spans="1:49" x14ac:dyDescent="0.25">
      <c r="D450" s="487" t="s">
        <v>653</v>
      </c>
      <c r="E450" s="488">
        <f>E430*$C$410/(4.909*10^-6)</f>
        <v>19225.911590955391</v>
      </c>
      <c r="L450" s="487" t="s">
        <v>653</v>
      </c>
      <c r="M450" s="488">
        <f>M430*$C$410/(4.909*10^-6)</f>
        <v>13399.877775514366</v>
      </c>
      <c r="T450" s="487" t="s">
        <v>653</v>
      </c>
      <c r="U450" s="488">
        <f>U430*$C$410/(4.909*10^-6)</f>
        <v>10486.86086779385</v>
      </c>
      <c r="Z450" s="157"/>
      <c r="AB450" s="487" t="s">
        <v>653</v>
      </c>
      <c r="AC450" s="488">
        <f>AC430*$C$410/(4.909*10^-6)</f>
        <v>16312.894683234877</v>
      </c>
      <c r="AH450" s="487" t="s">
        <v>653</v>
      </c>
      <c r="AI450" s="488">
        <f>AI430*$C$410/(4.909*10^-6)</f>
        <v>13399.877775514362</v>
      </c>
      <c r="AM450" s="157"/>
      <c r="AO450" s="487" t="s">
        <v>653</v>
      </c>
      <c r="AP450" s="488">
        <f>AP430*$C$410/(4.909*10^-6)</f>
        <v>16312.894683234877</v>
      </c>
      <c r="AU450" s="487" t="s">
        <v>653</v>
      </c>
      <c r="AV450" s="488">
        <f>AV430*$C$410/(4.909*10^-6)</f>
        <v>13399.877775514362</v>
      </c>
    </row>
    <row r="451" spans="1:49" x14ac:dyDescent="0.25">
      <c r="D451" s="487" t="s">
        <v>650</v>
      </c>
      <c r="E451">
        <f>4.328*LN(E450)</f>
        <v>42.691453501764919</v>
      </c>
      <c r="L451" s="487" t="s">
        <v>650</v>
      </c>
      <c r="M451">
        <f>4.328*LN(M450)</f>
        <v>41.12898774227935</v>
      </c>
      <c r="T451" s="487" t="s">
        <v>650</v>
      </c>
      <c r="U451">
        <f>4.328*LN(U450)</f>
        <v>40.068097743912595</v>
      </c>
      <c r="Z451" s="157"/>
      <c r="AB451" s="487" t="s">
        <v>650</v>
      </c>
      <c r="AC451">
        <f>4.328*LN(AC450)</f>
        <v>41.980349895776278</v>
      </c>
      <c r="AH451" s="487" t="s">
        <v>650</v>
      </c>
      <c r="AI451">
        <f>4.328*LN(AI450)</f>
        <v>41.12898774227935</v>
      </c>
      <c r="AM451" s="157"/>
      <c r="AO451" s="487" t="s">
        <v>650</v>
      </c>
      <c r="AP451">
        <f>4.328*LN(AP450)</f>
        <v>41.980349895776278</v>
      </c>
      <c r="AU451" s="487" t="s">
        <v>650</v>
      </c>
      <c r="AV451">
        <f>4.328*LN(AV450)</f>
        <v>41.12898774227935</v>
      </c>
    </row>
    <row r="452" spans="1:49" x14ac:dyDescent="0.25">
      <c r="D452" t="s">
        <v>655</v>
      </c>
      <c r="E452">
        <f>($C$411+31*LN(E449)+E451)</f>
        <v>-15.59626063964059</v>
      </c>
      <c r="L452" t="s">
        <v>655</v>
      </c>
      <c r="M452">
        <f>($C$411+31*LN(M449)+M451)</f>
        <v>-7.7581525517760568</v>
      </c>
      <c r="T452" t="s">
        <v>655</v>
      </c>
      <c r="U452">
        <f>($C$411+31*LN(U449)+U451)</f>
        <v>-4.2616875526944753</v>
      </c>
      <c r="Z452" s="157"/>
      <c r="AB452" t="s">
        <v>655</v>
      </c>
      <c r="AC452">
        <f>($C$411+31*LN(AC449)+AC451)</f>
        <v>-11.965598210245417</v>
      </c>
      <c r="AH452" t="s">
        <v>655</v>
      </c>
      <c r="AI452">
        <f>($C$411+31*LN(AI449)+AI451)</f>
        <v>-5.2302139397692358</v>
      </c>
      <c r="AM452" s="157"/>
      <c r="AO452" t="s">
        <v>655</v>
      </c>
      <c r="AP452">
        <f>($C$411+31*LN(AP449)+AP451)</f>
        <v>-11.965598210245417</v>
      </c>
      <c r="AU452" t="s">
        <v>655</v>
      </c>
      <c r="AV452">
        <f>($C$411+31*LN(AV449)+AV451)</f>
        <v>-5.2302139397692358</v>
      </c>
    </row>
    <row r="453" spans="1:49" x14ac:dyDescent="0.25">
      <c r="D453" s="487" t="s">
        <v>656</v>
      </c>
      <c r="E453">
        <f>10*LOG(E434*10^(E447/10)+E435*10^(E452/10))</f>
        <v>-15.388405956491473</v>
      </c>
      <c r="L453" s="487" t="s">
        <v>656</v>
      </c>
      <c r="M453">
        <f>10*LOG(M434*10^(M447/10)+M435*10^(M452/10))</f>
        <v>-7.5736719184626189</v>
      </c>
      <c r="N453">
        <f>M453-E453</f>
        <v>7.8147340380288544</v>
      </c>
      <c r="T453" s="487" t="s">
        <v>656</v>
      </c>
      <c r="U453">
        <f>10*LOG(10^(U447/10)+10^(U452/10))</f>
        <v>1.1536532712482972</v>
      </c>
      <c r="V453">
        <f>U453-E453</f>
        <v>16.54205922773977</v>
      </c>
      <c r="Z453" s="157"/>
      <c r="AB453" s="487" t="s">
        <v>656</v>
      </c>
      <c r="AC453">
        <f>10*LOG(10^(AC447/10)+10^(AC452/10))</f>
        <v>-8.6942686229268631</v>
      </c>
      <c r="AD453">
        <f>AC453-M453</f>
        <v>-1.1205967044642442</v>
      </c>
      <c r="AH453" s="487" t="s">
        <v>656</v>
      </c>
      <c r="AI453">
        <f>10*LOG(10^(AI447/10)+10^(AI452/10))</f>
        <v>-0.72097427159235328</v>
      </c>
      <c r="AJ453">
        <f>AI453-S453</f>
        <v>-0.72097427159235328</v>
      </c>
      <c r="AM453" s="157"/>
      <c r="AO453" s="487" t="s">
        <v>656</v>
      </c>
      <c r="AP453">
        <f>10*LOG(10^(AP447/10)+10^(AP452/10))</f>
        <v>-8.6942686229268631</v>
      </c>
      <c r="AQ453">
        <f>AP453-Z453</f>
        <v>-8.6942686229268631</v>
      </c>
      <c r="AU453" s="487" t="s">
        <v>656</v>
      </c>
      <c r="AV453">
        <f>10*LOG(10^(AV447/10)+10^(AV452/10))</f>
        <v>-0.72097427159235328</v>
      </c>
      <c r="AW453">
        <f>AV453-AF453</f>
        <v>-0.72097427159235328</v>
      </c>
    </row>
    <row r="454" spans="1:49" x14ac:dyDescent="0.25">
      <c r="Z454" s="157"/>
      <c r="AM454" s="157"/>
    </row>
    <row r="455" spans="1:49" x14ac:dyDescent="0.25">
      <c r="D455" s="487" t="s">
        <v>659</v>
      </c>
      <c r="E455">
        <f>10*LOG(10^(41/10)-(E434*10^(E447/10))-E435*10^(E452/10))</f>
        <v>40.999990024280841</v>
      </c>
      <c r="M455">
        <f>10*LOG(10^(41/10)+(M434*10^(M447/10))+M435*10^(M452/10)-(E434*10^(E447/10))-E435*10^(E452/10))</f>
        <v>41.000050337859989</v>
      </c>
      <c r="U455">
        <f>10*LOG(10^(41/10)+(U434*10^(U447/10))+U435*10^(U452/10)-(E434*10^(E447/10))-E435*10^(E452/10))</f>
        <v>41.00017718094125</v>
      </c>
      <c r="Z455" s="157"/>
      <c r="AC455">
        <f>10*LOG(10^(41/10)+(AC434*10^(AC447/10))+AC435*10^(AC452/10)-(M434*10^(M447/10))-M435*10^(M452/10))</f>
        <v>40.999962180538105</v>
      </c>
      <c r="AI455">
        <f>10*LOG(10^(41/10)+(AI434*10^(AI447/10))+AI435*10^(AI452/10)-(S434*10^(S447/10))-S435*10^(S452/10))</f>
        <v>41.000117537223801</v>
      </c>
      <c r="AM455" s="157"/>
      <c r="AP455">
        <f>10*LOG(10^(41/10)+(AP434*10^(AP447/10))+AP435*10^(AP452/10)-(Z434*10^(Z447/10))-Z435*10^(Z452/10))</f>
        <v>41.000022494503945</v>
      </c>
      <c r="AV455">
        <f>10*LOG(10^(41/10)+(AV434*10^(AV447/10))+AV435*10^(AV452/10)-(AF434*10^(AF447/10))-AF435*10^(AF452/10))</f>
        <v>41.000117537223801</v>
      </c>
    </row>
    <row r="456" spans="1:49" x14ac:dyDescent="0.25">
      <c r="E456">
        <f>10*LOG(10^(41/10)-10^($E$453/10)+10^(E453/10))</f>
        <v>41</v>
      </c>
      <c r="M456">
        <f>10*LOG(10^(41/10)-10^($E$453/10)+10^(M453/10))</f>
        <v>41.000050337859989</v>
      </c>
      <c r="N456">
        <f>M456-E456</f>
        <v>5.0337859988758282E-5</v>
      </c>
      <c r="U456">
        <f>10*LOG(10^(41/10)-10^($E$453/10)+10^(U453/10))</f>
        <v>41.000439936864495</v>
      </c>
      <c r="V456">
        <f>U456-E456</f>
        <v>4.3993686449539382E-4</v>
      </c>
      <c r="Z456" s="157"/>
      <c r="AC456">
        <f>10*LOG(10^(41/10)-10^($E$453/10)+10^(AC453/10))</f>
        <v>41.000036621083396</v>
      </c>
      <c r="AD456">
        <f>AC456-M456</f>
        <v>-1.3716776592787028E-5</v>
      </c>
      <c r="AI456">
        <f>10*LOG(10^(41/10)-10^($E$453/10)+10^(AI453/10))</f>
        <v>41.000282219611712</v>
      </c>
      <c r="AJ456">
        <f>AI456-S456</f>
        <v>41.000282219611712</v>
      </c>
      <c r="AM456" s="157"/>
      <c r="AP456">
        <f>10*LOG(10^(41/10)-10^($E$453/10)+10^(AP453/10))</f>
        <v>41.000036621083396</v>
      </c>
      <c r="AQ456">
        <f>AP456-Z456</f>
        <v>41.000036621083396</v>
      </c>
      <c r="AV456">
        <f>10*LOG(10^(41/10)-10^($E$453/10)+10^(AV453/10))</f>
        <v>41.000282219611712</v>
      </c>
      <c r="AW456">
        <f>AV456-AF456</f>
        <v>41.000282219611712</v>
      </c>
    </row>
    <row r="457" spans="1:49" x14ac:dyDescent="0.25">
      <c r="Z457" s="157"/>
      <c r="AM457" s="157"/>
    </row>
    <row r="458" spans="1:49" x14ac:dyDescent="0.25">
      <c r="AA458" t="s">
        <v>922</v>
      </c>
      <c r="AG458" t="s">
        <v>922</v>
      </c>
      <c r="AN458" t="s">
        <v>922</v>
      </c>
      <c r="AT458" t="s">
        <v>922</v>
      </c>
    </row>
    <row r="459" spans="1:49" x14ac:dyDescent="0.25">
      <c r="B459" s="1" t="s">
        <v>889</v>
      </c>
      <c r="H459" s="166"/>
      <c r="AA459" t="s">
        <v>923</v>
      </c>
      <c r="AB459">
        <f>$C$16-$C$35</f>
        <v>0</v>
      </c>
      <c r="AG459" t="s">
        <v>923</v>
      </c>
      <c r="AH459">
        <f>$C$16-$C$35</f>
        <v>0</v>
      </c>
      <c r="AN459" t="s">
        <v>923</v>
      </c>
      <c r="AO459">
        <f>$C$16-$C$35</f>
        <v>0</v>
      </c>
      <c r="AT459" t="s">
        <v>923</v>
      </c>
      <c r="AU459">
        <f>$C$16-$C$35</f>
        <v>0</v>
      </c>
    </row>
    <row r="460" spans="1:49" x14ac:dyDescent="0.25">
      <c r="B460" t="s">
        <v>630</v>
      </c>
      <c r="C460" t="s">
        <v>686</v>
      </c>
      <c r="D460" t="s">
        <v>687</v>
      </c>
      <c r="AA460" t="s">
        <v>926</v>
      </c>
      <c r="AB460">
        <f>MAX(1,$C$36/$C$35)</f>
        <v>1.25</v>
      </c>
      <c r="AG460" t="s">
        <v>926</v>
      </c>
      <c r="AH460">
        <f>MAX(1,$C$36/$C$35)</f>
        <v>1.25</v>
      </c>
      <c r="AN460" t="s">
        <v>926</v>
      </c>
      <c r="AO460">
        <f>MAX(1,$C$36/$C$35)</f>
        <v>1.25</v>
      </c>
      <c r="AT460" t="s">
        <v>926</v>
      </c>
      <c r="AU460">
        <f>MAX(1,$C$36/$C$35)</f>
        <v>1.25</v>
      </c>
    </row>
    <row r="461" spans="1:49" x14ac:dyDescent="0.25">
      <c r="B461" t="s">
        <v>631</v>
      </c>
      <c r="C461">
        <v>300</v>
      </c>
      <c r="D461">
        <v>186</v>
      </c>
      <c r="F461" t="s">
        <v>939</v>
      </c>
      <c r="AA461" t="s">
        <v>925</v>
      </c>
      <c r="AB461">
        <f>7.2135*LN(AB460)</f>
        <v>1.609646007405052</v>
      </c>
      <c r="AG461" t="s">
        <v>925</v>
      </c>
      <c r="AH461">
        <f>7.2135*LN(AH460)</f>
        <v>1.609646007405052</v>
      </c>
      <c r="AN461" t="s">
        <v>925</v>
      </c>
      <c r="AO461">
        <f>7.2135*LN(AO460)</f>
        <v>1.609646007405052</v>
      </c>
      <c r="AT461" t="s">
        <v>925</v>
      </c>
      <c r="AU461">
        <f>7.2135*LN(AU460)</f>
        <v>1.609646007405052</v>
      </c>
    </row>
    <row r="462" spans="1:49" x14ac:dyDescent="0.25">
      <c r="B462" t="s">
        <v>632</v>
      </c>
      <c r="C462">
        <v>186</v>
      </c>
      <c r="D462">
        <f>T419</f>
        <v>87</v>
      </c>
      <c r="F462" t="s">
        <v>940</v>
      </c>
    </row>
    <row r="463" spans="1:49" x14ac:dyDescent="0.25">
      <c r="B463" s="460" t="s">
        <v>645</v>
      </c>
      <c r="C463" s="141">
        <f>D462</f>
        <v>87</v>
      </c>
      <c r="D463" s="141">
        <v>0</v>
      </c>
      <c r="E463" s="141"/>
    </row>
    <row r="464" spans="1:49" x14ac:dyDescent="0.25">
      <c r="A464" t="s">
        <v>646</v>
      </c>
      <c r="B464" s="166" t="str">
        <f ca="1">OFFSET(B461,C464-1,0)</f>
        <v>H250</v>
      </c>
      <c r="C464">
        <f>COUNTIF(C461:C463,"&gt;="&amp;$C$14)</f>
        <v>2</v>
      </c>
      <c r="Y464" s="686" t="s">
        <v>1034</v>
      </c>
    </row>
    <row r="465" spans="1:28" x14ac:dyDescent="0.25">
      <c r="A465" t="s">
        <v>646</v>
      </c>
      <c r="B465" s="166">
        <f ca="1">_xlfn.NUMBERVALUE(RIGHT(B464,3))</f>
        <v>250</v>
      </c>
      <c r="Y465" t="s">
        <v>937</v>
      </c>
      <c r="Z465" t="s">
        <v>938</v>
      </c>
      <c r="AA465" t="s">
        <v>924</v>
      </c>
      <c r="AB465" t="s">
        <v>925</v>
      </c>
    </row>
    <row r="466" spans="1:28" x14ac:dyDescent="0.25">
      <c r="B466" s="166"/>
      <c r="Y466">
        <v>100</v>
      </c>
      <c r="Z466">
        <v>1</v>
      </c>
      <c r="AA466">
        <v>1</v>
      </c>
      <c r="AB466">
        <v>0</v>
      </c>
    </row>
    <row r="467" spans="1:28" x14ac:dyDescent="0.25">
      <c r="B467" s="166" t="s">
        <v>719</v>
      </c>
      <c r="D467" t="s">
        <v>254</v>
      </c>
      <c r="Y467">
        <f>100/Z467</f>
        <v>70.710678118654741</v>
      </c>
      <c r="Z467">
        <f>SQRT(AA467)</f>
        <v>1.4142135623730951</v>
      </c>
      <c r="AA467">
        <v>2</v>
      </c>
      <c r="AB467">
        <v>5</v>
      </c>
    </row>
    <row r="468" spans="1:28" x14ac:dyDescent="0.25">
      <c r="B468" s="166"/>
      <c r="Y468">
        <v>50</v>
      </c>
      <c r="Z468">
        <f>100/Y468</f>
        <v>2</v>
      </c>
      <c r="AA468">
        <f>Z468^2</f>
        <v>4</v>
      </c>
      <c r="AB468">
        <v>10</v>
      </c>
    </row>
    <row r="469" spans="1:28" x14ac:dyDescent="0.25">
      <c r="Y469" s="686" t="s">
        <v>1035</v>
      </c>
    </row>
    <row r="470" spans="1:28" x14ac:dyDescent="0.25">
      <c r="B470" s="583" t="s">
        <v>876</v>
      </c>
    </row>
    <row r="471" spans="1:28" x14ac:dyDescent="0.25">
      <c r="B471" t="s">
        <v>630</v>
      </c>
      <c r="C471" t="s">
        <v>172</v>
      </c>
      <c r="D471" t="s">
        <v>686</v>
      </c>
      <c r="E471" t="s">
        <v>687</v>
      </c>
    </row>
    <row r="472" spans="1:28" x14ac:dyDescent="0.25">
      <c r="B472" t="s">
        <v>858</v>
      </c>
      <c r="C472" t="s">
        <v>179</v>
      </c>
      <c r="D472">
        <v>246</v>
      </c>
      <c r="E472">
        <v>171</v>
      </c>
      <c r="H472" s="166"/>
    </row>
    <row r="473" spans="1:28" x14ac:dyDescent="0.25">
      <c r="B473" t="s">
        <v>631</v>
      </c>
      <c r="C473" t="s">
        <v>2</v>
      </c>
      <c r="D473">
        <v>171</v>
      </c>
      <c r="E473">
        <v>109</v>
      </c>
      <c r="H473" s="166"/>
    </row>
    <row r="474" spans="1:28" x14ac:dyDescent="0.25">
      <c r="B474" t="s">
        <v>877</v>
      </c>
      <c r="C474" t="s">
        <v>178</v>
      </c>
      <c r="D474">
        <v>109</v>
      </c>
      <c r="E474">
        <v>62</v>
      </c>
      <c r="H474" s="166"/>
    </row>
    <row r="475" spans="1:28" x14ac:dyDescent="0.25">
      <c r="B475" s="141" t="s">
        <v>632</v>
      </c>
      <c r="C475" s="141" t="s">
        <v>177</v>
      </c>
      <c r="D475" s="141">
        <v>62</v>
      </c>
      <c r="E475" s="141">
        <v>0</v>
      </c>
      <c r="H475" s="166"/>
    </row>
    <row r="476" spans="1:28" x14ac:dyDescent="0.25">
      <c r="A476" t="s">
        <v>646</v>
      </c>
      <c r="B476" s="166" t="str">
        <f ca="1">OFFSET(B472,D476-1,0)</f>
        <v>H300</v>
      </c>
      <c r="C476" s="166" t="str">
        <f ca="1">OFFSET(C472,D476-1,0)</f>
        <v>DN200</v>
      </c>
      <c r="D476">
        <f>COUNTIF(D472:D475,"&gt;="&amp;$C$14)</f>
        <v>3</v>
      </c>
      <c r="H476" s="166"/>
    </row>
    <row r="477" spans="1:28" x14ac:dyDescent="0.25">
      <c r="A477" t="s">
        <v>646</v>
      </c>
      <c r="B477" s="585">
        <f ca="1">_xlfn.NUMBERVALUE(RIGHT(B476,3))</f>
        <v>300</v>
      </c>
      <c r="C477" s="585">
        <f ca="1">_xlfn.NUMBERVALUE(RIGHT(C476,3))</f>
        <v>200</v>
      </c>
      <c r="H477" s="166"/>
    </row>
    <row r="478" spans="1:28" x14ac:dyDescent="0.25">
      <c r="B478" s="166"/>
    </row>
    <row r="479" spans="1:28" x14ac:dyDescent="0.25">
      <c r="A479" s="1" t="s">
        <v>907</v>
      </c>
    </row>
    <row r="480" spans="1:28" x14ac:dyDescent="0.25">
      <c r="A480" t="s">
        <v>908</v>
      </c>
      <c r="B480" t="b">
        <f>AI429&lt;=C414</f>
        <v>0</v>
      </c>
    </row>
    <row r="481" spans="1:26" x14ac:dyDescent="0.25">
      <c r="A481" t="s">
        <v>910</v>
      </c>
      <c r="B481" t="s">
        <v>254</v>
      </c>
      <c r="C481" t="s">
        <v>172</v>
      </c>
    </row>
    <row r="482" spans="1:26" x14ac:dyDescent="0.25">
      <c r="A482" t="s">
        <v>813</v>
      </c>
      <c r="B482" s="6" t="str">
        <f>IF($B$480,AJ427,"N/A")</f>
        <v>N/A</v>
      </c>
      <c r="C482" s="6" t="str">
        <f>IFERROR(VLOOKUP($B$482,B472:C475,2,0),"N/A")</f>
        <v>N/A</v>
      </c>
    </row>
    <row r="483" spans="1:26" x14ac:dyDescent="0.25">
      <c r="A483" t="s">
        <v>911</v>
      </c>
      <c r="B483" s="598" t="str">
        <f>IFERROR(_xlfn.NUMBERVALUE(RIGHT(B482,3)),"N/A")</f>
        <v>N/A</v>
      </c>
      <c r="C483" s="598" t="str">
        <f>IFERROR(_xlfn.NUMBERVALUE(RIGHT(C482,3)),"N/A")</f>
        <v>N/A</v>
      </c>
    </row>
    <row r="484" spans="1:26" x14ac:dyDescent="0.25">
      <c r="B484" s="6"/>
    </row>
    <row r="485" spans="1:26" x14ac:dyDescent="0.25">
      <c r="U485" t="s">
        <v>930</v>
      </c>
      <c r="V485" t="s">
        <v>932</v>
      </c>
      <c r="W485" t="s">
        <v>931</v>
      </c>
      <c r="X485" t="s">
        <v>581</v>
      </c>
      <c r="Y485" t="s">
        <v>27</v>
      </c>
      <c r="Z485" t="s">
        <v>502</v>
      </c>
    </row>
    <row r="486" spans="1:26" x14ac:dyDescent="0.25">
      <c r="B486" s="166"/>
      <c r="U486">
        <v>120</v>
      </c>
      <c r="V486" t="s">
        <v>933</v>
      </c>
      <c r="W486" t="s">
        <v>354</v>
      </c>
      <c r="X486" s="12">
        <v>0.81</v>
      </c>
      <c r="Y486">
        <v>41</v>
      </c>
      <c r="Z486" t="s">
        <v>936</v>
      </c>
    </row>
    <row r="487" spans="1:26" x14ac:dyDescent="0.25">
      <c r="A487" s="1" t="s">
        <v>630</v>
      </c>
      <c r="B487" s="583" t="s">
        <v>878</v>
      </c>
      <c r="C487" s="1" t="s">
        <v>172</v>
      </c>
      <c r="U487">
        <v>120</v>
      </c>
      <c r="V487">
        <v>30</v>
      </c>
      <c r="W487" t="s">
        <v>354</v>
      </c>
      <c r="X487" s="12">
        <v>0.81</v>
      </c>
      <c r="Y487">
        <v>36</v>
      </c>
      <c r="Z487" t="s">
        <v>934</v>
      </c>
    </row>
    <row r="488" spans="1:26" x14ac:dyDescent="0.25">
      <c r="B488" s="166" t="str">
        <f ca="1">IF($C$17,B476,B464)</f>
        <v>H250</v>
      </c>
      <c r="C488" s="166">
        <f>IF($C$17,C476,C464)</f>
        <v>2</v>
      </c>
      <c r="U488">
        <v>120</v>
      </c>
      <c r="V488">
        <v>60</v>
      </c>
      <c r="W488" t="s">
        <v>354</v>
      </c>
      <c r="X488" s="12">
        <v>0.54</v>
      </c>
      <c r="Y488">
        <v>45.3</v>
      </c>
      <c r="Z488" t="s">
        <v>935</v>
      </c>
    </row>
    <row r="489" spans="1:26" ht="13.9" customHeight="1" x14ac:dyDescent="0.25"/>
    <row r="491" spans="1:26" ht="20.25" thickBot="1" x14ac:dyDescent="0.35">
      <c r="B491" s="2" t="s">
        <v>227</v>
      </c>
    </row>
    <row r="492" spans="1:26" ht="15.75" thickTop="1" x14ac:dyDescent="0.25"/>
    <row r="493" spans="1:26" x14ac:dyDescent="0.25">
      <c r="C493" s="142">
        <v>0</v>
      </c>
      <c r="D493" s="5">
        <v>1</v>
      </c>
      <c r="E493" s="142">
        <v>2</v>
      </c>
      <c r="F493" s="5">
        <v>3</v>
      </c>
      <c r="G493" s="142">
        <v>4</v>
      </c>
      <c r="H493" s="5">
        <v>5</v>
      </c>
      <c r="I493" s="142">
        <v>6</v>
      </c>
      <c r="J493" s="142">
        <v>7</v>
      </c>
      <c r="K493" s="142">
        <v>8</v>
      </c>
      <c r="L493" s="142">
        <v>9</v>
      </c>
      <c r="M493" s="142">
        <v>10</v>
      </c>
      <c r="N493" s="142"/>
      <c r="O493" s="142"/>
      <c r="P493" s="142"/>
      <c r="Q493" s="142"/>
      <c r="R493" s="142"/>
      <c r="S493" s="142"/>
      <c r="T493" s="142"/>
      <c r="U493" s="142"/>
      <c r="V493" s="142"/>
      <c r="W493" t="str">
        <f>""</f>
        <v/>
      </c>
    </row>
    <row r="494" spans="1:26" x14ac:dyDescent="0.25">
      <c r="B494" t="s">
        <v>53</v>
      </c>
      <c r="C494" s="306">
        <f>C180</f>
        <v>253.86858327617207</v>
      </c>
      <c r="D494" s="213">
        <f>J180</f>
        <v>213.0732866902527</v>
      </c>
      <c r="E494" s="213">
        <f>Q180</f>
        <v>179.46042373950033</v>
      </c>
      <c r="F494" s="213">
        <f>X180</f>
        <v>156.54907239662043</v>
      </c>
      <c r="G494" s="213">
        <f>AE180</f>
        <v>131.45166744358357</v>
      </c>
      <c r="H494" s="213">
        <f>AL180</f>
        <v>116.4630963009313</v>
      </c>
      <c r="I494" s="213">
        <f>AS180</f>
        <v>97.064127256159878</v>
      </c>
      <c r="J494" s="151">
        <f>AZ180</f>
        <v>79.00461083590838</v>
      </c>
      <c r="K494" s="151">
        <f>BG180</f>
        <v>68.63540000126271</v>
      </c>
      <c r="L494" s="151">
        <f>BN180</f>
        <v>59.605641791136968</v>
      </c>
      <c r="M494" s="151">
        <f>BU180</f>
        <v>50.575883581011212</v>
      </c>
      <c r="N494" s="142"/>
      <c r="O494" s="142"/>
      <c r="P494" s="142"/>
      <c r="Q494" s="142"/>
      <c r="R494" s="142"/>
      <c r="S494" s="142"/>
      <c r="T494" s="142"/>
      <c r="U494" s="142"/>
      <c r="V494" s="142"/>
      <c r="W494" t="str">
        <f>""</f>
        <v/>
      </c>
    </row>
    <row r="495" spans="1:26" x14ac:dyDescent="0.25">
      <c r="B495" t="s">
        <v>165</v>
      </c>
      <c r="C495" s="306">
        <f>$C$14</f>
        <v>100</v>
      </c>
      <c r="D495" s="306">
        <f t="shared" ref="D495:I495" si="633">$C$14</f>
        <v>100</v>
      </c>
      <c r="E495" s="306">
        <f t="shared" si="633"/>
        <v>100</v>
      </c>
      <c r="F495" s="306">
        <f t="shared" si="633"/>
        <v>100</v>
      </c>
      <c r="G495" s="306">
        <f t="shared" si="633"/>
        <v>100</v>
      </c>
      <c r="H495" s="306">
        <f t="shared" si="633"/>
        <v>100</v>
      </c>
      <c r="I495" s="306">
        <f t="shared" si="633"/>
        <v>100</v>
      </c>
      <c r="J495" s="151">
        <f t="shared" ref="J495:M495" si="634">$C$14</f>
        <v>100</v>
      </c>
      <c r="K495" s="151">
        <f t="shared" si="634"/>
        <v>100</v>
      </c>
      <c r="L495" s="151">
        <f t="shared" si="634"/>
        <v>100</v>
      </c>
      <c r="M495" s="151">
        <f t="shared" si="634"/>
        <v>100</v>
      </c>
      <c r="N495" s="142"/>
      <c r="O495" s="142"/>
      <c r="P495" s="142"/>
      <c r="Q495" s="142"/>
      <c r="R495" s="142"/>
      <c r="S495" s="142"/>
      <c r="T495" s="142"/>
      <c r="U495" s="142"/>
      <c r="V495" s="142"/>
      <c r="W495" t="str">
        <f>""</f>
        <v/>
      </c>
    </row>
    <row r="496" spans="1:26" x14ac:dyDescent="0.25">
      <c r="B496" t="s">
        <v>627</v>
      </c>
      <c r="C496" s="151">
        <f>$C$35</f>
        <v>40</v>
      </c>
      <c r="D496" s="151">
        <f t="shared" ref="D496:M496" si="635">$C$35</f>
        <v>40</v>
      </c>
      <c r="E496" s="151">
        <f t="shared" si="635"/>
        <v>40</v>
      </c>
      <c r="F496" s="151">
        <f t="shared" si="635"/>
        <v>40</v>
      </c>
      <c r="G496" s="151">
        <f t="shared" si="635"/>
        <v>40</v>
      </c>
      <c r="H496" s="151">
        <f t="shared" si="635"/>
        <v>40</v>
      </c>
      <c r="I496" s="151">
        <f t="shared" si="635"/>
        <v>40</v>
      </c>
      <c r="J496" s="151">
        <f t="shared" si="635"/>
        <v>40</v>
      </c>
      <c r="K496" s="151">
        <f t="shared" si="635"/>
        <v>40</v>
      </c>
      <c r="L496" s="151">
        <f t="shared" si="635"/>
        <v>40</v>
      </c>
      <c r="M496" s="151">
        <f t="shared" si="635"/>
        <v>40</v>
      </c>
      <c r="N496" s="142"/>
      <c r="O496" s="142"/>
      <c r="P496" s="142"/>
      <c r="Q496" s="142"/>
      <c r="R496" s="142"/>
      <c r="S496" s="142"/>
      <c r="T496" s="142"/>
      <c r="U496" s="142"/>
      <c r="V496" s="142"/>
      <c r="W496" t="str">
        <f>""</f>
        <v/>
      </c>
    </row>
    <row r="497" spans="2:31" x14ac:dyDescent="0.25">
      <c r="B497" t="s">
        <v>587</v>
      </c>
      <c r="C497" s="308">
        <f ca="1">C204</f>
        <v>0.27</v>
      </c>
      <c r="D497" s="309">
        <f ca="1">J204</f>
        <v>0.34</v>
      </c>
      <c r="E497" s="309">
        <f ca="1">Q204</f>
        <v>0.44</v>
      </c>
      <c r="F497" s="309">
        <f ca="1">X204</f>
        <v>0.55000000000000004</v>
      </c>
      <c r="G497" s="309">
        <f ca="1">AE204</f>
        <v>0.67</v>
      </c>
      <c r="H497" s="309">
        <f ca="1">AL204</f>
        <v>0.78</v>
      </c>
      <c r="I497" s="324">
        <f ca="1">AS204</f>
        <v>1.04</v>
      </c>
      <c r="J497" s="307">
        <f ca="1">AZ204</f>
        <v>1.63</v>
      </c>
      <c r="K497" s="307">
        <f ca="1">BG204</f>
        <v>2.38</v>
      </c>
      <c r="L497" s="307">
        <f ca="1">BN204</f>
        <v>7.51</v>
      </c>
      <c r="M497" s="307">
        <f ca="1">BU204</f>
        <v>10.33</v>
      </c>
      <c r="N497" s="142"/>
      <c r="O497" s="142"/>
      <c r="P497" s="142"/>
      <c r="Q497" s="142"/>
      <c r="R497" s="142"/>
      <c r="S497" s="142"/>
      <c r="T497" s="142"/>
      <c r="U497" s="142"/>
      <c r="V497" s="142"/>
    </row>
    <row r="498" spans="2:31" x14ac:dyDescent="0.25">
      <c r="B498" t="s">
        <v>628</v>
      </c>
      <c r="C498" s="187">
        <f>C179</f>
        <v>6.2064330149449027</v>
      </c>
      <c r="D498" s="310">
        <f>J179</f>
        <v>8.8105289254853467</v>
      </c>
      <c r="E498" s="310">
        <f>Q179</f>
        <v>12.42002910589072</v>
      </c>
      <c r="F498" s="310">
        <f>X179</f>
        <v>16.321459589216033</v>
      </c>
      <c r="G498" s="310">
        <f>AE179</f>
        <v>23.148763206367789</v>
      </c>
      <c r="H498" s="310">
        <f>AL179</f>
        <v>29.490580885408686</v>
      </c>
      <c r="I498" s="310">
        <f>AS179</f>
        <v>42.456333236702726</v>
      </c>
      <c r="J498" s="306">
        <f>AZ179</f>
        <v>64.084812061889522</v>
      </c>
      <c r="K498" s="306">
        <f>BG179</f>
        <v>84.910940876625077</v>
      </c>
      <c r="L498" s="306">
        <f>BN179</f>
        <v>112.58622415977274</v>
      </c>
      <c r="M498" s="306">
        <f>BU179</f>
        <v>156.37705635829113</v>
      </c>
      <c r="N498" s="325"/>
      <c r="O498" s="325"/>
      <c r="P498" s="325"/>
      <c r="Q498" s="325"/>
      <c r="R498" s="325"/>
      <c r="S498" s="325"/>
      <c r="T498" s="325"/>
      <c r="U498" s="325"/>
      <c r="V498" s="325"/>
      <c r="W498" t="str">
        <f>""</f>
        <v/>
      </c>
    </row>
    <row r="499" spans="2:31" x14ac:dyDescent="0.25">
      <c r="B499" t="s">
        <v>64</v>
      </c>
      <c r="C499" s="307">
        <f>$C$34</f>
        <v>0.3</v>
      </c>
      <c r="D499" s="307">
        <f t="shared" ref="D499:I499" si="636">$C$34</f>
        <v>0.3</v>
      </c>
      <c r="E499" s="307">
        <f t="shared" si="636"/>
        <v>0.3</v>
      </c>
      <c r="F499" s="307">
        <f t="shared" si="636"/>
        <v>0.3</v>
      </c>
      <c r="G499" s="307">
        <f t="shared" si="636"/>
        <v>0.3</v>
      </c>
      <c r="H499" s="307">
        <f t="shared" si="636"/>
        <v>0.3</v>
      </c>
      <c r="I499" s="307">
        <f t="shared" si="636"/>
        <v>0.3</v>
      </c>
      <c r="J499" s="151">
        <f t="shared" ref="J499:M499" si="637">$C$34</f>
        <v>0.3</v>
      </c>
      <c r="K499" s="151">
        <f t="shared" si="637"/>
        <v>0.3</v>
      </c>
      <c r="L499" s="151">
        <f t="shared" si="637"/>
        <v>0.3</v>
      </c>
      <c r="M499" s="151">
        <f t="shared" si="637"/>
        <v>0.3</v>
      </c>
      <c r="N499" s="142"/>
      <c r="O499" s="142"/>
      <c r="P499" s="142"/>
      <c r="Q499" s="142"/>
      <c r="R499" s="142"/>
      <c r="S499" s="142"/>
      <c r="T499" s="142"/>
      <c r="U499" s="142"/>
      <c r="V499" s="142"/>
      <c r="W499" t="str">
        <f>""</f>
        <v/>
      </c>
      <c r="X499" s="109"/>
      <c r="Y499" s="109"/>
      <c r="Z499" s="109"/>
      <c r="AA499" s="109"/>
      <c r="AB499" s="109"/>
      <c r="AC499" s="109"/>
      <c r="AD499" s="109"/>
      <c r="AE499" s="109"/>
    </row>
    <row r="500" spans="2:31" x14ac:dyDescent="0.25">
      <c r="B500" t="s">
        <v>261</v>
      </c>
      <c r="C500" s="151">
        <f>$C$45</f>
        <v>30</v>
      </c>
      <c r="D500" s="151">
        <f t="shared" ref="D500:I500" si="638">$C$45</f>
        <v>30</v>
      </c>
      <c r="E500" s="151">
        <f t="shared" si="638"/>
        <v>30</v>
      </c>
      <c r="F500" s="151">
        <f t="shared" si="638"/>
        <v>30</v>
      </c>
      <c r="G500" s="151">
        <f t="shared" si="638"/>
        <v>30</v>
      </c>
      <c r="H500" s="151">
        <f t="shared" si="638"/>
        <v>30</v>
      </c>
      <c r="I500" s="151">
        <f t="shared" si="638"/>
        <v>30</v>
      </c>
      <c r="J500" s="151">
        <f t="shared" ref="J500:M500" si="639">$C$45</f>
        <v>30</v>
      </c>
      <c r="K500" s="151">
        <f t="shared" si="639"/>
        <v>30</v>
      </c>
      <c r="L500" s="151">
        <f t="shared" si="639"/>
        <v>30</v>
      </c>
      <c r="M500" s="151">
        <f t="shared" si="639"/>
        <v>30</v>
      </c>
      <c r="N500" s="142"/>
      <c r="O500" s="142"/>
      <c r="P500" s="142"/>
      <c r="Q500" s="142"/>
      <c r="R500" s="142"/>
      <c r="S500" s="142"/>
      <c r="T500" s="142"/>
      <c r="U500" s="142"/>
      <c r="V500" s="142"/>
      <c r="W500" t="str">
        <f>""</f>
        <v/>
      </c>
    </row>
    <row r="501" spans="2:31" x14ac:dyDescent="0.25">
      <c r="B501" t="s">
        <v>57</v>
      </c>
      <c r="C501" s="308">
        <f>C182</f>
        <v>0.21985664233993035</v>
      </c>
      <c r="D501" s="309">
        <f>J182</f>
        <v>0.18452687914160357</v>
      </c>
      <c r="E501" s="309">
        <f>Q182</f>
        <v>0.15541728593232726</v>
      </c>
      <c r="F501" s="309">
        <f>X182</f>
        <v>0.13557547363436254</v>
      </c>
      <c r="G501" s="309">
        <f>AE182</f>
        <v>0.11384048337596724</v>
      </c>
      <c r="H501" s="309">
        <f>AL182</f>
        <v>0.10086000000000001</v>
      </c>
      <c r="I501" s="324">
        <f>AS182</f>
        <v>0.1</v>
      </c>
      <c r="J501" s="151">
        <f>AZ182</f>
        <v>0.1</v>
      </c>
      <c r="K501" s="151">
        <f>BG182</f>
        <v>0.1</v>
      </c>
      <c r="L501" s="151">
        <f>BN182</f>
        <v>0.1</v>
      </c>
      <c r="M501" s="151">
        <f>BU182</f>
        <v>0.1</v>
      </c>
      <c r="N501" s="142"/>
      <c r="O501" s="142"/>
      <c r="P501" s="142"/>
      <c r="Q501" s="142"/>
      <c r="R501" s="142"/>
      <c r="S501" s="142"/>
      <c r="T501" s="142"/>
      <c r="U501" s="142"/>
      <c r="V501" s="142"/>
      <c r="W501" t="str">
        <f>""</f>
        <v/>
      </c>
    </row>
    <row r="502" spans="2:31" x14ac:dyDescent="0.25">
      <c r="B502" s="4" t="s">
        <v>55</v>
      </c>
      <c r="C502" s="151">
        <f>C181</f>
        <v>21.985664233993035</v>
      </c>
      <c r="D502" s="213">
        <f>J181</f>
        <v>18.452687914160357</v>
      </c>
      <c r="E502" s="213">
        <f>Q181</f>
        <v>15.541728593232726</v>
      </c>
      <c r="F502" s="213">
        <f>X181</f>
        <v>13.557547363436255</v>
      </c>
      <c r="G502" s="213">
        <f>AE181</f>
        <v>11.384048337596724</v>
      </c>
      <c r="H502" s="213">
        <f>AL181</f>
        <v>10.086</v>
      </c>
      <c r="I502" s="213">
        <f>AS181</f>
        <v>10</v>
      </c>
      <c r="J502" s="151">
        <f>AZ181</f>
        <v>10</v>
      </c>
      <c r="K502" s="151">
        <f>BG181</f>
        <v>10</v>
      </c>
      <c r="L502" s="151">
        <f>BN181</f>
        <v>10</v>
      </c>
      <c r="M502" s="151">
        <f>BU181</f>
        <v>10</v>
      </c>
      <c r="N502" s="142"/>
      <c r="O502" s="142"/>
      <c r="P502" s="142"/>
      <c r="Q502" s="142"/>
      <c r="R502" s="142"/>
      <c r="S502" s="142"/>
      <c r="T502" s="142"/>
      <c r="U502" s="142"/>
      <c r="V502" s="142"/>
      <c r="W502" t="str">
        <f>""</f>
        <v/>
      </c>
    </row>
    <row r="503" spans="2:31" x14ac:dyDescent="0.25">
      <c r="B503" s="4" t="s">
        <v>197</v>
      </c>
      <c r="C503" s="187">
        <f ca="1">C294</f>
        <v>8.3474197563312593</v>
      </c>
      <c r="D503" s="165">
        <f ca="1">J294</f>
        <v>9.3662305448287562</v>
      </c>
      <c r="E503" s="165">
        <f ca="1">Q294</f>
        <v>10.38605847065217</v>
      </c>
      <c r="F503" s="165">
        <f ca="1">X294</f>
        <v>11.174864467428943</v>
      </c>
      <c r="G503" s="165">
        <f ca="1">AE294</f>
        <v>12.122770035561352</v>
      </c>
      <c r="H503" s="165">
        <f ca="1">AL294</f>
        <v>12.866672634891996</v>
      </c>
      <c r="I503" s="165">
        <f ca="1">AS294</f>
        <v>13.690768854269853</v>
      </c>
      <c r="J503" s="187">
        <f ca="1">AZ294</f>
        <v>14.555596568726443</v>
      </c>
      <c r="K503" s="187">
        <f ca="1">BG294</f>
        <v>15.057989068468999</v>
      </c>
      <c r="L503" s="187">
        <f ca="1">BN294</f>
        <v>15.526943616525962</v>
      </c>
      <c r="M503" s="187">
        <f ca="1">BU294</f>
        <v>16.009919220231804</v>
      </c>
      <c r="N503" s="326"/>
      <c r="O503" s="326"/>
      <c r="P503" s="326"/>
      <c r="Q503" s="326"/>
      <c r="R503" s="326"/>
      <c r="S503" s="326"/>
      <c r="T503" s="326"/>
      <c r="U503" s="326"/>
      <c r="V503" s="326"/>
      <c r="W503" t="str">
        <f>""</f>
        <v/>
      </c>
    </row>
    <row r="504" spans="2:31" x14ac:dyDescent="0.25">
      <c r="B504" s="4" t="s">
        <v>37</v>
      </c>
      <c r="C504" s="187">
        <f ca="1">C293</f>
        <v>5.5649465042208393</v>
      </c>
      <c r="D504" s="165">
        <f ca="1">J293</f>
        <v>6.2441536965525044</v>
      </c>
      <c r="E504" s="165">
        <f ca="1">Q293</f>
        <v>6.9240389804347799</v>
      </c>
      <c r="F504" s="165">
        <f ca="1">X293</f>
        <v>7.449909644952629</v>
      </c>
      <c r="G504" s="165">
        <f ca="1">AE293</f>
        <v>8.0818466903742348</v>
      </c>
      <c r="H504" s="165">
        <f ca="1">AL293</f>
        <v>8.5777817565946641</v>
      </c>
      <c r="I504" s="165">
        <f ca="1">AS293</f>
        <v>9.1271792361799022</v>
      </c>
      <c r="J504" s="187">
        <f ca="1">AZ293</f>
        <v>9.7037310458176282</v>
      </c>
      <c r="K504" s="187">
        <f ca="1">BG293</f>
        <v>10.038659378979332</v>
      </c>
      <c r="L504" s="187">
        <f ca="1">BN293</f>
        <v>10.351295744350642</v>
      </c>
      <c r="M504" s="187">
        <f ca="1">BU293</f>
        <v>10.673279480154536</v>
      </c>
      <c r="N504" s="326"/>
      <c r="O504" s="326"/>
      <c r="P504" s="326"/>
      <c r="Q504" s="326"/>
      <c r="R504" s="326"/>
      <c r="S504" s="326"/>
      <c r="T504" s="326"/>
      <c r="U504" s="326"/>
      <c r="V504" s="326"/>
      <c r="W504" t="str">
        <f>""</f>
        <v/>
      </c>
    </row>
    <row r="505" spans="2:31" x14ac:dyDescent="0.25">
      <c r="B505" s="4" t="s">
        <v>289</v>
      </c>
      <c r="C505" s="187">
        <f>$C$273</f>
        <v>8.379919181293344</v>
      </c>
      <c r="D505" s="165">
        <f>$J$273</f>
        <v>8.4925946327537467</v>
      </c>
      <c r="E505" s="165">
        <f>$Q$273</f>
        <v>8.6565659743673695</v>
      </c>
      <c r="F505" s="165">
        <f>$X$273</f>
        <v>8.844940078816526</v>
      </c>
      <c r="G505" s="165">
        <f>$AE$273</f>
        <v>9.2064360367926685</v>
      </c>
      <c r="H505" s="165">
        <f>$AL$273</f>
        <v>9.2582009977255151</v>
      </c>
      <c r="I505" s="165">
        <f>$AS$273</f>
        <v>9.2582009977255151</v>
      </c>
      <c r="J505" s="187">
        <f>$AZ$273</f>
        <v>9.2582009977255151</v>
      </c>
      <c r="K505" s="187">
        <f>$BG$273</f>
        <v>9.2582009977255151</v>
      </c>
      <c r="L505" s="187">
        <f>$BN$273</f>
        <v>9.2582009977255151</v>
      </c>
      <c r="M505" s="187">
        <f>$BU$273</f>
        <v>9.2582009977255151</v>
      </c>
      <c r="N505" s="326"/>
      <c r="O505" s="326"/>
      <c r="P505" s="326"/>
      <c r="Q505" s="326"/>
      <c r="R505" s="326"/>
      <c r="S505" s="326"/>
      <c r="T505" s="326"/>
      <c r="U505" s="326"/>
      <c r="V505" s="326"/>
      <c r="W505" t="str">
        <f>""</f>
        <v/>
      </c>
    </row>
    <row r="506" spans="2:31" x14ac:dyDescent="0.25">
      <c r="B506" t="s">
        <v>290</v>
      </c>
      <c r="C506" s="151">
        <f>$C$282</f>
        <v>7.5338922270891882</v>
      </c>
      <c r="D506" s="213">
        <f>$J$282</f>
        <v>7.6351920952115764</v>
      </c>
      <c r="E506" s="213">
        <f>$Q$282</f>
        <v>7.782609079710177</v>
      </c>
      <c r="F506" s="213">
        <f>$X$282</f>
        <v>7.9519651523155641</v>
      </c>
      <c r="G506" s="213">
        <f>$AE$282</f>
        <v>8.2769648962272093</v>
      </c>
      <c r="H506" s="213">
        <f>$AL$282</f>
        <v>8.6175372964501751</v>
      </c>
      <c r="I506" s="213">
        <f>$AS$282</f>
        <v>9.2582009977255151</v>
      </c>
      <c r="J506" s="151">
        <f>$AZ$282</f>
        <v>9.2582009977255151</v>
      </c>
      <c r="K506" s="151">
        <f>$BG$282</f>
        <v>9.2582009977255151</v>
      </c>
      <c r="L506" s="151">
        <f>$BN$282</f>
        <v>9.2582009977255151</v>
      </c>
      <c r="M506" s="151">
        <f>$BU$282</f>
        <v>9.2582009977255151</v>
      </c>
      <c r="N506" s="142"/>
      <c r="O506" s="142"/>
      <c r="P506" s="142"/>
      <c r="Q506" s="142"/>
      <c r="R506" s="142"/>
      <c r="S506" s="142"/>
      <c r="T506" s="142"/>
      <c r="U506" s="142"/>
      <c r="V506" s="142"/>
      <c r="X506" s="10"/>
      <c r="Y506" s="10"/>
      <c r="Z506" s="10"/>
      <c r="AA506" s="10"/>
      <c r="AB506" s="10"/>
      <c r="AC506" s="10"/>
      <c r="AD506" s="10"/>
      <c r="AE506" s="10"/>
    </row>
    <row r="507" spans="2:31" x14ac:dyDescent="0.25">
      <c r="B507" t="s">
        <v>22</v>
      </c>
      <c r="C507" s="151">
        <f>C258</f>
        <v>2.288984778588385</v>
      </c>
      <c r="D507" s="213">
        <f>J258</f>
        <v>2.3194214991202542</v>
      </c>
      <c r="E507" s="213">
        <f>Q258</f>
        <v>2.3564776234164162</v>
      </c>
      <c r="F507" s="213">
        <f>X258</f>
        <v>2.3924932872610527</v>
      </c>
      <c r="G507" s="213">
        <f>AE258</f>
        <v>2.4495748055443687</v>
      </c>
      <c r="H507" s="213">
        <f>AL258</f>
        <v>2.4984777725661558</v>
      </c>
      <c r="I507" s="213">
        <f>AS258</f>
        <v>2.5917523860723364</v>
      </c>
      <c r="J507" s="151">
        <f>AZ258</f>
        <v>2.7386175085877933</v>
      </c>
      <c r="K507" s="151">
        <f>BG258</f>
        <v>2.8781860953470946</v>
      </c>
      <c r="L507" s="151">
        <f>BN258</f>
        <v>3.0692818686080665</v>
      </c>
      <c r="M507" s="151">
        <f>BU258</f>
        <v>3.4023152545091238</v>
      </c>
      <c r="N507" s="142"/>
      <c r="O507" s="142"/>
      <c r="P507" s="142"/>
      <c r="Q507" s="142"/>
      <c r="R507" s="142"/>
      <c r="S507" s="142"/>
      <c r="T507" s="142"/>
      <c r="U507" s="142"/>
      <c r="V507" s="142"/>
      <c r="X507" s="8"/>
      <c r="Y507" s="8"/>
      <c r="Z507" s="8"/>
      <c r="AA507" s="8"/>
      <c r="AB507" s="8"/>
      <c r="AC507" s="8"/>
      <c r="AD507" s="8"/>
      <c r="AE507" s="8"/>
    </row>
    <row r="508" spans="2:31" x14ac:dyDescent="0.25">
      <c r="B508" t="s">
        <v>21</v>
      </c>
      <c r="C508" s="187">
        <f>C248</f>
        <v>2.2470861000000002</v>
      </c>
      <c r="D508" s="165">
        <f>J248</f>
        <v>2.2470861000000002</v>
      </c>
      <c r="E508" s="165">
        <f>Q248</f>
        <v>2.2470861000000002</v>
      </c>
      <c r="F508" s="165">
        <f>X248</f>
        <v>2.2470861000000002</v>
      </c>
      <c r="G508" s="165">
        <f>AE248</f>
        <v>2.2470861000000002</v>
      </c>
      <c r="H508" s="165">
        <f>AL248</f>
        <v>2.2470861000000002</v>
      </c>
      <c r="I508" s="165">
        <f>AS248</f>
        <v>2.2470861000000002</v>
      </c>
      <c r="J508" s="187">
        <f>AZ248</f>
        <v>2.3470861000000003</v>
      </c>
      <c r="K508" s="187">
        <f>BG248</f>
        <v>2.3470861000000003</v>
      </c>
      <c r="L508" s="187">
        <f>BN248</f>
        <v>2.3470861000000003</v>
      </c>
      <c r="M508" s="187">
        <f>BU248</f>
        <v>2.3470861000000003</v>
      </c>
      <c r="N508" s="326"/>
      <c r="O508" s="326"/>
      <c r="P508" s="326"/>
      <c r="Q508" s="326"/>
      <c r="R508" s="326"/>
      <c r="S508" s="326"/>
      <c r="T508" s="326"/>
      <c r="U508" s="326"/>
      <c r="V508" s="326"/>
      <c r="X508" s="58"/>
      <c r="Y508" s="58"/>
      <c r="Z508" s="58"/>
      <c r="AA508" s="58"/>
      <c r="AB508" s="58"/>
      <c r="AC508" s="58"/>
      <c r="AD508" s="58"/>
      <c r="AE508" s="58"/>
    </row>
    <row r="509" spans="2:31" x14ac:dyDescent="0.25">
      <c r="B509" t="s">
        <v>139</v>
      </c>
      <c r="C509" s="311">
        <f ca="1">C308</f>
        <v>0.10668177225885964</v>
      </c>
      <c r="D509" s="213">
        <f ca="1">J308</f>
        <v>0.1087885899437817</v>
      </c>
      <c r="E509" s="213">
        <f ca="1">Q308</f>
        <v>0.11085496206492679</v>
      </c>
      <c r="F509" s="213">
        <f ca="1">X308</f>
        <v>0.11272969955362443</v>
      </c>
      <c r="G509" s="213">
        <f ca="1">AE308</f>
        <v>0.1154624674890633</v>
      </c>
      <c r="H509" s="213">
        <f ca="1">AL308</f>
        <v>0.1175989085220288</v>
      </c>
      <c r="I509" s="213">
        <f ca="1">AS308</f>
        <v>0.12123043840627677</v>
      </c>
      <c r="J509" s="311">
        <f ca="1">AZ308</f>
        <v>0.12563560048180517</v>
      </c>
      <c r="K509" s="311">
        <f ca="1">BG308</f>
        <v>0.12933519017895093</v>
      </c>
      <c r="L509" s="311">
        <f ca="1">BN308</f>
        <v>0.13344643800463499</v>
      </c>
      <c r="M509" s="311">
        <f ca="1">BU308</f>
        <v>0.13878334202071549</v>
      </c>
      <c r="N509" s="327"/>
      <c r="O509" s="327"/>
      <c r="P509" s="327"/>
      <c r="Q509" s="327"/>
      <c r="R509" s="327"/>
      <c r="S509" s="327"/>
      <c r="T509" s="327"/>
      <c r="U509" s="327"/>
      <c r="V509" s="327"/>
      <c r="X509" s="58"/>
      <c r="Y509" s="58"/>
      <c r="Z509" s="58"/>
      <c r="AA509" s="58"/>
      <c r="AB509" s="58"/>
      <c r="AC509" s="58"/>
      <c r="AD509" s="58"/>
      <c r="AE509" s="58"/>
    </row>
    <row r="510" spans="2:31" x14ac:dyDescent="0.25">
      <c r="B510" t="s">
        <v>93</v>
      </c>
      <c r="C510" s="312">
        <f ca="1">C309</f>
        <v>8.757244615155671E-2</v>
      </c>
      <c r="D510" s="213">
        <f ca="1">J309</f>
        <v>9.0168425328022453E-2</v>
      </c>
      <c r="E510" s="213">
        <f ca="1">Q309</f>
        <v>9.2713604209025482E-2</v>
      </c>
      <c r="F510" s="213">
        <f ca="1">X309</f>
        <v>9.5022537108937655E-2</v>
      </c>
      <c r="G510" s="213">
        <f ca="1">AE309</f>
        <v>9.8388924604572436E-2</v>
      </c>
      <c r="H510" s="213">
        <f ca="1">AL309</f>
        <v>0.10102209925580226</v>
      </c>
      <c r="I510" s="213">
        <f ca="1">AS309</f>
        <v>0.10550257024624721</v>
      </c>
      <c r="J510" s="308">
        <f ca="1">AZ309</f>
        <v>0.11094850382110655</v>
      </c>
      <c r="K510" s="308">
        <f ca="1">BG309</f>
        <v>0.11553420468510855</v>
      </c>
      <c r="L510" s="308">
        <f ca="1">BN309</f>
        <v>0.12064568107381519</v>
      </c>
      <c r="M510" s="308">
        <f ca="1">BU309</f>
        <v>0.12730914659160286</v>
      </c>
      <c r="N510" s="328"/>
      <c r="O510" s="328"/>
      <c r="P510" s="328"/>
      <c r="Q510" s="328"/>
      <c r="R510" s="328"/>
      <c r="S510" s="328"/>
      <c r="T510" s="328"/>
      <c r="U510" s="328"/>
      <c r="V510" s="328"/>
      <c r="X510" s="10"/>
      <c r="Y510" s="10"/>
      <c r="Z510" s="10"/>
      <c r="AA510" s="10"/>
      <c r="AB510" s="10"/>
      <c r="AC510" s="10"/>
      <c r="AD510" s="10"/>
      <c r="AE510" s="10"/>
    </row>
    <row r="511" spans="2:31" x14ac:dyDescent="0.25">
      <c r="B511" s="4" t="s">
        <v>125</v>
      </c>
      <c r="C511" s="312">
        <f ca="1">C310</f>
        <v>5.5727578200372829E-2</v>
      </c>
      <c r="D511" s="213">
        <f ca="1">J310</f>
        <v>5.6607278795073192E-2</v>
      </c>
      <c r="E511" s="213">
        <f ca="1">Q310</f>
        <v>5.7476307254970285E-2</v>
      </c>
      <c r="F511" s="213">
        <f ca="1">X310</f>
        <v>5.8270275556544127E-2</v>
      </c>
      <c r="G511" s="213">
        <f ca="1">AE310</f>
        <v>5.9437421393565226E-2</v>
      </c>
      <c r="H511" s="213">
        <f ca="1">AL310</f>
        <v>6.0358257082975146E-2</v>
      </c>
      <c r="I511" s="213">
        <f ca="1">AS310</f>
        <v>6.1941038725843965E-2</v>
      </c>
      <c r="J511" s="308">
        <f ca="1">AZ310</f>
        <v>6.3891911205347679E-2</v>
      </c>
      <c r="K511" s="308">
        <f ca="1">BG310</f>
        <v>6.5557627397387408E-2</v>
      </c>
      <c r="L511" s="308">
        <f ca="1">BN310</f>
        <v>6.7439110449336162E-2</v>
      </c>
      <c r="M511" s="308">
        <f ca="1">BU310</f>
        <v>6.9931096050841829E-2</v>
      </c>
      <c r="N511" s="328"/>
      <c r="O511" s="328"/>
      <c r="P511" s="328"/>
      <c r="Q511" s="328"/>
      <c r="R511" s="328"/>
      <c r="S511" s="328"/>
      <c r="T511" s="328"/>
      <c r="U511" s="328"/>
      <c r="V511" s="328"/>
    </row>
    <row r="512" spans="2:31" x14ac:dyDescent="0.25">
      <c r="B512" s="4" t="s">
        <v>198</v>
      </c>
      <c r="C512" s="313" t="str">
        <f ca="1">C311</f>
        <v>A</v>
      </c>
      <c r="D512" s="213" t="str">
        <f ca="1">J311</f>
        <v>A</v>
      </c>
      <c r="E512" s="213" t="str">
        <f ca="1">Q311</f>
        <v>A</v>
      </c>
      <c r="F512" s="213" t="str">
        <f ca="1">X311</f>
        <v>A</v>
      </c>
      <c r="G512" s="213" t="str">
        <f ca="1">AE311</f>
        <v>A</v>
      </c>
      <c r="H512" s="213" t="str">
        <f ca="1">AL311</f>
        <v>B</v>
      </c>
      <c r="I512" s="213" t="str">
        <f ca="1">AS311</f>
        <v>B</v>
      </c>
      <c r="J512" s="151" t="str">
        <f ca="1">AZ311</f>
        <v>B</v>
      </c>
      <c r="K512" s="151" t="str">
        <f ca="1">BG311</f>
        <v>B</v>
      </c>
      <c r="L512" s="151" t="str">
        <f ca="1">BN311</f>
        <v>B</v>
      </c>
      <c r="M512" s="151" t="str">
        <f ca="1">BU311</f>
        <v>B</v>
      </c>
      <c r="N512" s="142"/>
      <c r="O512" s="142"/>
      <c r="P512" s="142"/>
      <c r="Q512" s="142"/>
      <c r="R512" s="142"/>
      <c r="S512" s="142"/>
      <c r="T512" s="142"/>
      <c r="U512" s="142"/>
      <c r="V512" s="142"/>
    </row>
    <row r="513" spans="2:22" x14ac:dyDescent="0.25">
      <c r="B513" s="4" t="s">
        <v>133</v>
      </c>
      <c r="C513" s="313">
        <f ca="1">C313</f>
        <v>0.2</v>
      </c>
      <c r="D513" s="165">
        <f ca="1">J313</f>
        <v>0.2</v>
      </c>
      <c r="E513" s="165">
        <f ca="1">Q313</f>
        <v>0.2</v>
      </c>
      <c r="F513" s="165">
        <f ca="1">X313</f>
        <v>0.2</v>
      </c>
      <c r="G513" s="165">
        <f ca="1">AE313</f>
        <v>0.2</v>
      </c>
      <c r="H513" s="165">
        <f ca="1">AL313</f>
        <v>0.2</v>
      </c>
      <c r="I513" s="165">
        <f ca="1">AS313</f>
        <v>0.2</v>
      </c>
      <c r="J513" s="187">
        <f ca="1">AZ313</f>
        <v>0.2</v>
      </c>
      <c r="K513" s="187">
        <f ca="1">BG313</f>
        <v>0.3</v>
      </c>
      <c r="L513" s="187">
        <f ca="1">BN313</f>
        <v>0.3</v>
      </c>
      <c r="M513" s="187">
        <f ca="1">BU313</f>
        <v>0.3</v>
      </c>
      <c r="N513" s="326"/>
      <c r="O513" s="326"/>
      <c r="P513" s="326"/>
      <c r="Q513" s="326"/>
      <c r="R513" s="326"/>
      <c r="S513" s="326"/>
      <c r="T513" s="326"/>
      <c r="U513" s="326"/>
      <c r="V513" s="326"/>
    </row>
    <row r="514" spans="2:22" x14ac:dyDescent="0.25">
      <c r="B514" t="s">
        <v>601</v>
      </c>
      <c r="C514" s="151">
        <f t="shared" ref="C514:M514" si="640">$E$427</f>
        <v>200</v>
      </c>
      <c r="D514" s="151">
        <f t="shared" si="640"/>
        <v>200</v>
      </c>
      <c r="E514" s="151">
        <f t="shared" si="640"/>
        <v>200</v>
      </c>
      <c r="F514" s="151">
        <f t="shared" si="640"/>
        <v>200</v>
      </c>
      <c r="G514" s="151">
        <f t="shared" si="640"/>
        <v>200</v>
      </c>
      <c r="H514" s="151">
        <f t="shared" si="640"/>
        <v>200</v>
      </c>
      <c r="I514" s="151">
        <f t="shared" si="640"/>
        <v>200</v>
      </c>
      <c r="J514" s="151">
        <f t="shared" si="640"/>
        <v>200</v>
      </c>
      <c r="K514" s="151">
        <f t="shared" si="640"/>
        <v>200</v>
      </c>
      <c r="L514" s="151">
        <f t="shared" si="640"/>
        <v>200</v>
      </c>
      <c r="M514" s="151">
        <f t="shared" si="640"/>
        <v>200</v>
      </c>
      <c r="N514" s="142"/>
      <c r="O514" s="142"/>
      <c r="P514" s="142"/>
      <c r="Q514" s="142"/>
      <c r="R514" s="142"/>
      <c r="S514" s="142"/>
      <c r="T514" s="142"/>
      <c r="U514" s="142"/>
      <c r="V514" s="142"/>
    </row>
    <row r="515" spans="2:22" x14ac:dyDescent="0.25">
      <c r="B515" t="s">
        <v>170</v>
      </c>
      <c r="C515" s="187">
        <f>C324</f>
        <v>44.501653814314047</v>
      </c>
      <c r="D515" s="187">
        <f>J324</f>
        <v>44.501653814314047</v>
      </c>
      <c r="E515" s="187">
        <f>Q324</f>
        <v>44.501653814314047</v>
      </c>
      <c r="F515" s="306">
        <f>X324</f>
        <v>44.501653814314047</v>
      </c>
      <c r="G515" s="306">
        <f>AE324</f>
        <v>44.501653814314047</v>
      </c>
      <c r="H515" s="306">
        <f>AL324</f>
        <v>44.501653814314047</v>
      </c>
      <c r="I515" s="306">
        <f>AS324</f>
        <v>46.957987051016772</v>
      </c>
      <c r="J515" s="306">
        <f>AZ324</f>
        <v>68.586465876203562</v>
      </c>
      <c r="K515" s="306">
        <f>BG324</f>
        <v>89.412594690939116</v>
      </c>
      <c r="L515" s="306">
        <f>BN324</f>
        <v>117.08787797408678</v>
      </c>
      <c r="M515" s="306">
        <f>BU324</f>
        <v>160.87871017260517</v>
      </c>
      <c r="N515" s="142"/>
      <c r="O515" s="142"/>
      <c r="P515" s="142"/>
      <c r="Q515" s="142"/>
      <c r="R515" s="142"/>
      <c r="S515" s="142"/>
      <c r="T515" s="142"/>
      <c r="U515" s="142"/>
      <c r="V515" s="142"/>
    </row>
    <row r="516" spans="2:22" x14ac:dyDescent="0.25">
      <c r="B516" t="s">
        <v>602</v>
      </c>
      <c r="C516" s="187">
        <f>C325</f>
        <v>50.704045403213257</v>
      </c>
      <c r="D516" s="187">
        <f>J325</f>
        <v>50.704045403213257</v>
      </c>
      <c r="E516" s="187">
        <f>Q325</f>
        <v>50.704045403213257</v>
      </c>
      <c r="F516" s="306">
        <f>X325</f>
        <v>50.704045403213257</v>
      </c>
      <c r="G516" s="306">
        <f>AE325</f>
        <v>50.704045403213257</v>
      </c>
      <c r="H516" s="306">
        <f>AL325</f>
        <v>50.704045403213257</v>
      </c>
      <c r="I516" s="306">
        <f>AS325</f>
        <v>53.16037863991599</v>
      </c>
      <c r="J516" s="306">
        <f>AZ325</f>
        <v>74.78885746510278</v>
      </c>
      <c r="K516" s="306">
        <f>BG325</f>
        <v>95.614986279838334</v>
      </c>
      <c r="L516" s="306">
        <f>BN325</f>
        <v>123.290269562986</v>
      </c>
      <c r="M516" s="306">
        <f>BU325</f>
        <v>167.08110176150439</v>
      </c>
      <c r="N516" s="142"/>
      <c r="O516" s="142"/>
      <c r="P516" s="142"/>
      <c r="Q516" s="142"/>
      <c r="R516" s="142"/>
      <c r="S516" s="142"/>
      <c r="T516" s="142"/>
      <c r="U516" s="142"/>
      <c r="V516" s="142"/>
    </row>
    <row r="517" spans="2:22" x14ac:dyDescent="0.25">
      <c r="B517" t="s">
        <v>478</v>
      </c>
      <c r="C517" s="187">
        <f ca="1">C326</f>
        <v>41.83781919424986</v>
      </c>
      <c r="D517" s="187">
        <f ca="1">J326</f>
        <v>41.288712302843024</v>
      </c>
      <c r="E517" s="187">
        <f ca="1">Q326</f>
        <v>40.656580172420874</v>
      </c>
      <c r="F517" s="151">
        <f ca="1">X326</f>
        <v>40.001225473380003</v>
      </c>
      <c r="G517" s="151">
        <f ca="1">AE326</f>
        <v>39.140265311436899</v>
      </c>
      <c r="H517" s="151">
        <f ca="1">AL326</f>
        <v>38.537222890857208</v>
      </c>
      <c r="I517" s="151">
        <f ca="1">AS326</f>
        <v>39.324148824746544</v>
      </c>
      <c r="J517" s="151">
        <f ca="1">AZ326</f>
        <v>60.204820728911422</v>
      </c>
      <c r="K517" s="151">
        <f ca="1">BG326</f>
        <v>158.45330545842734</v>
      </c>
      <c r="L517" s="151" t="e">
        <f ca="1">BN326</f>
        <v>#NUM!</v>
      </c>
      <c r="M517" s="151" t="e">
        <f ca="1">BU326</f>
        <v>#NUM!</v>
      </c>
      <c r="N517" s="142"/>
      <c r="O517" s="142"/>
      <c r="P517" s="142"/>
      <c r="Q517" s="142"/>
      <c r="R517" s="142"/>
      <c r="S517" s="142"/>
      <c r="T517" s="142"/>
      <c r="U517" s="142"/>
      <c r="V517" s="142"/>
    </row>
    <row r="518" spans="2:22" x14ac:dyDescent="0.25">
      <c r="B518" t="s">
        <v>477</v>
      </c>
      <c r="C518" s="187">
        <f ca="1">C327</f>
        <v>26.83781919424986</v>
      </c>
      <c r="D518" s="187">
        <f ca="1">J327</f>
        <v>26.288712302843024</v>
      </c>
      <c r="E518" s="187">
        <f ca="1">Q327</f>
        <v>25.656580172420874</v>
      </c>
      <c r="F518" s="151">
        <f ca="1">X327</f>
        <v>25.001225473380003</v>
      </c>
      <c r="G518" s="151">
        <f ca="1">AE327</f>
        <v>24.140265311436899</v>
      </c>
      <c r="H518" s="151">
        <f ca="1">AL327</f>
        <v>23.537222890857208</v>
      </c>
      <c r="I518" s="151">
        <f ca="1">AS327</f>
        <v>24.324148824746544</v>
      </c>
      <c r="J518" s="151">
        <f ca="1">AZ327</f>
        <v>45.204820728911422</v>
      </c>
      <c r="K518" s="151">
        <f ca="1">BG327</f>
        <v>143.45330545842734</v>
      </c>
      <c r="L518" s="151" t="e">
        <f ca="1">BN327</f>
        <v>#NUM!</v>
      </c>
      <c r="M518" s="151" t="e">
        <f ca="1">BU327</f>
        <v>#NUM!</v>
      </c>
      <c r="N518" s="142"/>
      <c r="O518" s="142"/>
      <c r="P518" s="142"/>
      <c r="Q518" s="142"/>
      <c r="R518" s="142"/>
      <c r="S518" s="142"/>
      <c r="T518" s="142"/>
      <c r="U518" s="142"/>
      <c r="V518" s="142"/>
    </row>
    <row r="519" spans="2:22" x14ac:dyDescent="0.25">
      <c r="B519" t="s">
        <v>456</v>
      </c>
      <c r="C519" s="151">
        <f t="shared" ref="C519:M519" si="641">$M$427</f>
        <v>200</v>
      </c>
      <c r="D519" s="151">
        <f t="shared" si="641"/>
        <v>200</v>
      </c>
      <c r="E519" s="151">
        <f t="shared" si="641"/>
        <v>200</v>
      </c>
      <c r="F519" s="151">
        <f t="shared" si="641"/>
        <v>200</v>
      </c>
      <c r="G519" s="151">
        <f t="shared" si="641"/>
        <v>200</v>
      </c>
      <c r="H519" s="151">
        <f t="shared" si="641"/>
        <v>200</v>
      </c>
      <c r="I519" s="151">
        <f t="shared" si="641"/>
        <v>200</v>
      </c>
      <c r="J519" s="151">
        <f t="shared" si="641"/>
        <v>200</v>
      </c>
      <c r="K519" s="151">
        <f t="shared" si="641"/>
        <v>200</v>
      </c>
      <c r="L519" s="151">
        <f t="shared" si="641"/>
        <v>200</v>
      </c>
      <c r="M519" s="151">
        <f t="shared" si="641"/>
        <v>200</v>
      </c>
      <c r="N519" s="142"/>
      <c r="O519" s="142"/>
      <c r="P519" s="142"/>
      <c r="Q519" s="142"/>
      <c r="R519" s="142"/>
      <c r="S519" s="142"/>
      <c r="T519" s="142"/>
      <c r="U519" s="142"/>
      <c r="V519" s="142"/>
    </row>
    <row r="520" spans="2:22" x14ac:dyDescent="0.25">
      <c r="B520" t="s">
        <v>170</v>
      </c>
      <c r="C520" s="187">
        <f>C334</f>
        <v>46.245372159160659</v>
      </c>
      <c r="D520" s="187">
        <f>J334</f>
        <v>46.245372159160659</v>
      </c>
      <c r="E520" s="187">
        <f>Q334</f>
        <v>46.245372159160659</v>
      </c>
      <c r="F520" s="306">
        <f>X334</f>
        <v>46.245372159160659</v>
      </c>
      <c r="G520" s="306">
        <f>AE334</f>
        <v>46.245372159160659</v>
      </c>
      <c r="H520" s="306">
        <f>AL334</f>
        <v>46.245372159160659</v>
      </c>
      <c r="I520" s="306">
        <f>AS334</f>
        <v>48.701705395863385</v>
      </c>
      <c r="J520" s="306">
        <f>AZ334</f>
        <v>70.330184221050189</v>
      </c>
      <c r="K520" s="306">
        <f>BG334</f>
        <v>91.156313035785729</v>
      </c>
      <c r="L520" s="306">
        <f>BN334</f>
        <v>118.83159631893341</v>
      </c>
      <c r="M520" s="306">
        <f>BU334</f>
        <v>162.62242851745179</v>
      </c>
      <c r="N520" s="142"/>
      <c r="O520" s="142"/>
      <c r="P520" s="142"/>
      <c r="Q520" s="142"/>
      <c r="R520" s="142"/>
      <c r="S520" s="142"/>
      <c r="T520" s="142"/>
      <c r="U520" s="142"/>
      <c r="V520" s="142"/>
    </row>
    <row r="521" spans="2:22" x14ac:dyDescent="0.25">
      <c r="B521" t="s">
        <v>602</v>
      </c>
      <c r="C521" s="187">
        <f>C335</f>
        <v>52.783669996199976</v>
      </c>
      <c r="D521" s="187">
        <f>J335</f>
        <v>52.783669996199976</v>
      </c>
      <c r="E521" s="187">
        <f>Q335</f>
        <v>52.783669996199976</v>
      </c>
      <c r="F521" s="306">
        <f>X335</f>
        <v>52.783669996199976</v>
      </c>
      <c r="G521" s="306">
        <f>AE335</f>
        <v>52.783669996199976</v>
      </c>
      <c r="H521" s="306">
        <f>AL335</f>
        <v>52.783669996199976</v>
      </c>
      <c r="I521" s="306">
        <f>AS335</f>
        <v>55.240003232902701</v>
      </c>
      <c r="J521" s="306">
        <f>AZ335</f>
        <v>76.868482058089498</v>
      </c>
      <c r="K521" s="306">
        <f>BG335</f>
        <v>97.694610872825038</v>
      </c>
      <c r="L521" s="306">
        <f>BN335</f>
        <v>125.36989415597272</v>
      </c>
      <c r="M521" s="306">
        <f>BU335</f>
        <v>169.16072635449112</v>
      </c>
      <c r="N521" s="142"/>
      <c r="O521" s="142"/>
      <c r="P521" s="142"/>
      <c r="Q521" s="142"/>
      <c r="R521" s="142"/>
      <c r="S521" s="142"/>
      <c r="T521" s="142"/>
      <c r="U521" s="142"/>
      <c r="V521" s="142"/>
    </row>
    <row r="522" spans="2:22" x14ac:dyDescent="0.25">
      <c r="B522" t="s">
        <v>478</v>
      </c>
      <c r="C522" s="187">
        <f ca="1">C336</f>
        <v>43.259681484537673</v>
      </c>
      <c r="D522" s="187">
        <f ca="1">J336</f>
        <v>42.710574593130836</v>
      </c>
      <c r="E522" s="187">
        <f ca="1">Q336</f>
        <v>42.078442462708686</v>
      </c>
      <c r="F522" s="306">
        <f ca="1">X336</f>
        <v>41.423087763667816</v>
      </c>
      <c r="G522" s="306">
        <f ca="1">AE336</f>
        <v>40.562127601724711</v>
      </c>
      <c r="H522" s="306">
        <f ca="1">AL336</f>
        <v>39.959085181145021</v>
      </c>
      <c r="I522" s="306">
        <f ca="1">AS336</f>
        <v>40.746011115034356</v>
      </c>
      <c r="J522" s="306">
        <f ca="1">AZ336</f>
        <v>61.626683019199234</v>
      </c>
      <c r="K522" s="306">
        <f ca="1">BG336</f>
        <v>159.87516774871514</v>
      </c>
      <c r="L522" s="306" t="e">
        <f ca="1">BN336</f>
        <v>#NUM!</v>
      </c>
      <c r="M522" s="306" t="e">
        <f ca="1">BU336</f>
        <v>#NUM!</v>
      </c>
      <c r="N522" s="142"/>
      <c r="O522" s="142"/>
      <c r="P522" s="142"/>
      <c r="Q522" s="142"/>
      <c r="R522" s="142"/>
      <c r="S522" s="142"/>
      <c r="T522" s="142"/>
      <c r="U522" s="142"/>
      <c r="V522" s="142"/>
    </row>
    <row r="523" spans="2:22" x14ac:dyDescent="0.25">
      <c r="B523" t="s">
        <v>477</v>
      </c>
      <c r="C523" s="187">
        <f ca="1">C337</f>
        <v>28.259681484537673</v>
      </c>
      <c r="D523" s="187">
        <f ca="1">J337</f>
        <v>27.710574593130836</v>
      </c>
      <c r="E523" s="187">
        <f ca="1">Q337</f>
        <v>27.078442462708686</v>
      </c>
      <c r="F523" s="306">
        <f ca="1">X337</f>
        <v>26.423087763667816</v>
      </c>
      <c r="G523" s="306">
        <f ca="1">AE337</f>
        <v>25.562127601724711</v>
      </c>
      <c r="H523" s="306">
        <f ca="1">AL337</f>
        <v>24.959085181145021</v>
      </c>
      <c r="I523" s="306">
        <f ca="1">AS337</f>
        <v>25.746011115034356</v>
      </c>
      <c r="J523" s="306">
        <f ca="1">AZ337</f>
        <v>46.626683019199234</v>
      </c>
      <c r="K523" s="306">
        <f ca="1">BG337</f>
        <v>144.87516774871514</v>
      </c>
      <c r="L523" s="306" t="e">
        <f ca="1">BN337</f>
        <v>#NUM!</v>
      </c>
      <c r="M523" s="306" t="e">
        <f ca="1">BU337</f>
        <v>#NUM!</v>
      </c>
      <c r="N523" s="142"/>
      <c r="O523" s="142"/>
      <c r="P523" s="142"/>
      <c r="Q523" s="142"/>
      <c r="R523" s="142"/>
      <c r="S523" s="142"/>
      <c r="T523" s="142"/>
      <c r="U523" s="142"/>
      <c r="V523" s="142"/>
    </row>
    <row r="524" spans="2:22" x14ac:dyDescent="0.25">
      <c r="B524" t="s">
        <v>479</v>
      </c>
      <c r="C524" s="151">
        <f t="shared" ref="C524:M524" si="642">$U$427</f>
        <v>250</v>
      </c>
      <c r="D524" s="151">
        <f t="shared" si="642"/>
        <v>250</v>
      </c>
      <c r="E524" s="151">
        <f t="shared" si="642"/>
        <v>250</v>
      </c>
      <c r="F524" s="151">
        <f t="shared" si="642"/>
        <v>250</v>
      </c>
      <c r="G524" s="151">
        <f t="shared" si="642"/>
        <v>250</v>
      </c>
      <c r="H524" s="151">
        <f t="shared" si="642"/>
        <v>250</v>
      </c>
      <c r="I524" s="151">
        <f t="shared" si="642"/>
        <v>250</v>
      </c>
      <c r="J524" s="151">
        <f t="shared" si="642"/>
        <v>250</v>
      </c>
      <c r="K524" s="151">
        <f t="shared" si="642"/>
        <v>250</v>
      </c>
      <c r="L524" s="151">
        <f t="shared" si="642"/>
        <v>250</v>
      </c>
      <c r="M524" s="151">
        <f t="shared" si="642"/>
        <v>250</v>
      </c>
      <c r="N524" s="142"/>
      <c r="O524" s="142"/>
      <c r="P524" s="142"/>
      <c r="Q524" s="142"/>
      <c r="R524" s="142"/>
      <c r="S524" s="142"/>
      <c r="T524" s="142"/>
      <c r="U524" s="142"/>
      <c r="V524" s="142"/>
    </row>
    <row r="525" spans="2:22" x14ac:dyDescent="0.25">
      <c r="B525" t="s">
        <v>170</v>
      </c>
      <c r="C525" s="187">
        <f>C344</f>
        <v>57.527272195757959</v>
      </c>
      <c r="D525" s="187">
        <f>J344</f>
        <v>47.527272195757959</v>
      </c>
      <c r="E525" s="187">
        <f>Q344</f>
        <v>47.527272195757959</v>
      </c>
      <c r="F525" s="306">
        <f>X344</f>
        <v>47.527272195757959</v>
      </c>
      <c r="G525" s="306">
        <f>AE344</f>
        <v>47.527272195757959</v>
      </c>
      <c r="H525" s="306">
        <f>AL344</f>
        <v>47.527272195757959</v>
      </c>
      <c r="I525" s="306">
        <f>AS344</f>
        <v>49.983605432460685</v>
      </c>
      <c r="J525" s="306">
        <f>AZ344</f>
        <v>71.612084257647481</v>
      </c>
      <c r="K525" s="306">
        <f>BG344</f>
        <v>92.438213072383036</v>
      </c>
      <c r="L525" s="306">
        <f>BN344</f>
        <v>120.1134963555307</v>
      </c>
      <c r="M525" s="306">
        <f>BU344</f>
        <v>163.90432855404907</v>
      </c>
      <c r="N525" s="142"/>
      <c r="O525" s="142"/>
      <c r="P525" s="142"/>
      <c r="Q525" s="142"/>
      <c r="R525" s="142"/>
      <c r="S525" s="142"/>
      <c r="T525" s="142"/>
      <c r="U525" s="142"/>
      <c r="V525" s="142"/>
    </row>
    <row r="526" spans="2:22" x14ac:dyDescent="0.25">
      <c r="B526" t="s">
        <v>602</v>
      </c>
      <c r="C526" s="187">
        <f>C345</f>
        <v>63.271270943633652</v>
      </c>
      <c r="D526" s="187">
        <f>J345</f>
        <v>53.271270943633652</v>
      </c>
      <c r="E526" s="187">
        <f>Q345</f>
        <v>53.271270943633652</v>
      </c>
      <c r="F526" s="306">
        <f>X345</f>
        <v>53.271270943633652</v>
      </c>
      <c r="G526" s="306">
        <f>AE345</f>
        <v>53.271270943633652</v>
      </c>
      <c r="H526" s="306">
        <f>AL345</f>
        <v>53.271270943633652</v>
      </c>
      <c r="I526" s="306">
        <f>AS345</f>
        <v>55.727604180336371</v>
      </c>
      <c r="J526" s="306">
        <f>AZ345</f>
        <v>77.356083005523175</v>
      </c>
      <c r="K526" s="306">
        <f>BG345</f>
        <v>98.182211820258729</v>
      </c>
      <c r="L526" s="306">
        <f>BN345</f>
        <v>125.85749510340639</v>
      </c>
      <c r="M526" s="306">
        <f>BU345</f>
        <v>169.64832730192475</v>
      </c>
      <c r="N526" s="142"/>
      <c r="O526" s="142"/>
      <c r="P526" s="142"/>
      <c r="Q526" s="142"/>
      <c r="R526" s="142"/>
      <c r="S526" s="142"/>
      <c r="T526" s="142"/>
      <c r="U526" s="142"/>
      <c r="V526" s="142"/>
    </row>
    <row r="527" spans="2:22" x14ac:dyDescent="0.25">
      <c r="B527" t="s">
        <v>478</v>
      </c>
      <c r="C527" s="187">
        <f ca="1">C346</f>
        <v>47.070474465031012</v>
      </c>
      <c r="D527" s="187">
        <f ca="1">J346</f>
        <v>46.521367573624175</v>
      </c>
      <c r="E527" s="187">
        <f ca="1">Q346</f>
        <v>45.889235443202026</v>
      </c>
      <c r="F527" s="306">
        <f ca="1">X346</f>
        <v>45.233880744161155</v>
      </c>
      <c r="G527" s="306">
        <f ca="1">AE346</f>
        <v>44.372920582218057</v>
      </c>
      <c r="H527" s="306">
        <f ca="1">AL346</f>
        <v>43.76987816163836</v>
      </c>
      <c r="I527" s="306">
        <f ca="1">AS346</f>
        <v>44.556804095527696</v>
      </c>
      <c r="J527" s="306">
        <f ca="1">AZ346</f>
        <v>65.43747599969258</v>
      </c>
      <c r="K527" s="306">
        <f ca="1">BG346</f>
        <v>163.68596072920849</v>
      </c>
      <c r="L527" s="306" t="e">
        <f ca="1">BN346</f>
        <v>#NUM!</v>
      </c>
      <c r="M527" s="306" t="e">
        <f ca="1">BU346</f>
        <v>#NUM!</v>
      </c>
      <c r="N527" s="142"/>
      <c r="O527" s="142"/>
      <c r="P527" s="142"/>
      <c r="Q527" s="142"/>
      <c r="R527" s="142"/>
      <c r="S527" s="142"/>
      <c r="T527" s="142"/>
      <c r="U527" s="142"/>
      <c r="V527" s="142"/>
    </row>
    <row r="528" spans="2:22" x14ac:dyDescent="0.25">
      <c r="B528" t="s">
        <v>477</v>
      </c>
      <c r="C528" s="187">
        <f ca="1">C347</f>
        <v>32.070474465031012</v>
      </c>
      <c r="D528" s="187">
        <f ca="1">J347</f>
        <v>31.521367573624175</v>
      </c>
      <c r="E528" s="187">
        <f ca="1">Q347</f>
        <v>30.889235443202026</v>
      </c>
      <c r="F528" s="306">
        <f ca="1">X347</f>
        <v>30.233880744161155</v>
      </c>
      <c r="G528" s="306">
        <f ca="1">AE347</f>
        <v>29.372920582218057</v>
      </c>
      <c r="H528" s="306">
        <f ca="1">AL347</f>
        <v>28.76987816163836</v>
      </c>
      <c r="I528" s="306">
        <f ca="1">AS347</f>
        <v>29.556804095527696</v>
      </c>
      <c r="J528" s="306">
        <f ca="1">AZ347</f>
        <v>50.43747599969258</v>
      </c>
      <c r="K528" s="306">
        <f ca="1">BG347</f>
        <v>148.68596072920849</v>
      </c>
      <c r="L528" s="306" t="e">
        <f ca="1">BN347</f>
        <v>#NUM!</v>
      </c>
      <c r="M528" s="306" t="e">
        <f ca="1">BU347</f>
        <v>#NUM!</v>
      </c>
      <c r="N528" s="142"/>
      <c r="O528" s="142"/>
      <c r="P528" s="142"/>
      <c r="Q528" s="142"/>
      <c r="R528" s="142"/>
      <c r="S528" s="142"/>
      <c r="T528" s="142"/>
      <c r="U528" s="142"/>
      <c r="V528" s="142"/>
    </row>
    <row r="529" spans="2:23" x14ac:dyDescent="0.25">
      <c r="B529" s="588" t="s">
        <v>883</v>
      </c>
      <c r="C529" s="589">
        <f>$AC$427</f>
        <v>200</v>
      </c>
      <c r="D529" s="589">
        <f t="shared" ref="D529:M529" si="643">$AC$427</f>
        <v>200</v>
      </c>
      <c r="E529" s="589">
        <f t="shared" si="643"/>
        <v>200</v>
      </c>
      <c r="F529" s="589">
        <f t="shared" si="643"/>
        <v>200</v>
      </c>
      <c r="G529" s="589">
        <f t="shared" si="643"/>
        <v>200</v>
      </c>
      <c r="H529" s="589">
        <f t="shared" si="643"/>
        <v>200</v>
      </c>
      <c r="I529" s="589">
        <f t="shared" si="643"/>
        <v>200</v>
      </c>
      <c r="J529" s="589">
        <f t="shared" si="643"/>
        <v>200</v>
      </c>
      <c r="K529" s="589">
        <f t="shared" si="643"/>
        <v>200</v>
      </c>
      <c r="L529" s="589">
        <f t="shared" si="643"/>
        <v>200</v>
      </c>
      <c r="M529" s="589">
        <f t="shared" si="643"/>
        <v>200</v>
      </c>
      <c r="N529" s="142"/>
      <c r="O529" s="142"/>
      <c r="P529" s="142"/>
      <c r="Q529" s="142"/>
      <c r="R529" s="142"/>
      <c r="S529" s="142"/>
      <c r="T529" s="142"/>
      <c r="U529" s="142"/>
      <c r="V529" s="142"/>
    </row>
    <row r="530" spans="2:23" x14ac:dyDescent="0.25">
      <c r="B530" s="588" t="s">
        <v>170</v>
      </c>
      <c r="C530" s="590">
        <f>C357</f>
        <v>45.106750664139184</v>
      </c>
      <c r="D530" s="590">
        <f>J357</f>
        <v>45.106750664139184</v>
      </c>
      <c r="E530" s="590">
        <f>Q357</f>
        <v>45.106750664139184</v>
      </c>
      <c r="F530" s="591">
        <f>X357</f>
        <v>45.106750664139184</v>
      </c>
      <c r="G530" s="591">
        <f>AE357</f>
        <v>45.106750664139184</v>
      </c>
      <c r="H530" s="591">
        <f>AL357</f>
        <v>45.106750664139184</v>
      </c>
      <c r="I530" s="591">
        <f>AS357</f>
        <v>47.56308390084191</v>
      </c>
      <c r="J530" s="591">
        <f>AZ357</f>
        <v>69.191562726028707</v>
      </c>
      <c r="K530" s="591">
        <f>BG357</f>
        <v>90.017691540764261</v>
      </c>
      <c r="L530" s="591">
        <f>BN357</f>
        <v>117.69297482391192</v>
      </c>
      <c r="M530" s="591">
        <f>BU357</f>
        <v>161.48380702243031</v>
      </c>
      <c r="N530" s="142"/>
      <c r="O530" s="142"/>
      <c r="P530" s="142"/>
      <c r="Q530" s="142"/>
      <c r="R530" s="142"/>
      <c r="S530" s="142"/>
      <c r="T530" s="142"/>
      <c r="U530" s="142"/>
      <c r="V530" s="142"/>
    </row>
    <row r="531" spans="2:23" x14ac:dyDescent="0.25">
      <c r="B531" s="588" t="s">
        <v>602</v>
      </c>
      <c r="C531" s="590">
        <f>C358</f>
        <v>51.309142253038402</v>
      </c>
      <c r="D531" s="590">
        <f>J358</f>
        <v>51.309142253038402</v>
      </c>
      <c r="E531" s="590">
        <f>Q358</f>
        <v>51.309142253038402</v>
      </c>
      <c r="F531" s="591">
        <f>X358</f>
        <v>51.309142253038402</v>
      </c>
      <c r="G531" s="591">
        <f>AE358</f>
        <v>51.309142253038402</v>
      </c>
      <c r="H531" s="591">
        <f>AL358</f>
        <v>51.309142253038402</v>
      </c>
      <c r="I531" s="591">
        <f>AS358</f>
        <v>53.765475489741121</v>
      </c>
      <c r="J531" s="591">
        <f>AZ358</f>
        <v>75.393954314927925</v>
      </c>
      <c r="K531" s="591">
        <f>BG358</f>
        <v>96.220083129663479</v>
      </c>
      <c r="L531" s="591">
        <f>BN358</f>
        <v>123.89536641281114</v>
      </c>
      <c r="M531" s="591">
        <f>BU358</f>
        <v>167.68619861132953</v>
      </c>
      <c r="N531" s="142"/>
      <c r="O531" s="142"/>
      <c r="P531" s="142"/>
      <c r="Q531" s="142"/>
      <c r="R531" s="142"/>
      <c r="S531" s="142"/>
      <c r="T531" s="142"/>
      <c r="U531" s="142"/>
      <c r="V531" s="142"/>
    </row>
    <row r="532" spans="2:23" x14ac:dyDescent="0.25">
      <c r="B532" s="588" t="s">
        <v>478</v>
      </c>
      <c r="C532" s="590">
        <f ca="1">C359</f>
        <v>43.995190803338723</v>
      </c>
      <c r="D532" s="590">
        <f ca="1">J359</f>
        <v>43.446083911931886</v>
      </c>
      <c r="E532" s="590">
        <f ca="1">Q359</f>
        <v>42.813951781509736</v>
      </c>
      <c r="F532" s="591">
        <f ca="1">X359</f>
        <v>42.158597082468866</v>
      </c>
      <c r="G532" s="591">
        <f ca="1">AE359</f>
        <v>41.297636920525761</v>
      </c>
      <c r="H532" s="591">
        <f ca="1">AL359</f>
        <v>40.694594499946071</v>
      </c>
      <c r="I532" s="591">
        <f ca="1">AS359</f>
        <v>41.481520433835406</v>
      </c>
      <c r="J532" s="591">
        <f ca="1">AZ359</f>
        <v>62.362192338000284</v>
      </c>
      <c r="K532" s="591">
        <f ca="1">BG359</f>
        <v>160.61067706751621</v>
      </c>
      <c r="L532" s="591" t="e">
        <f ca="1">BN359</f>
        <v>#NUM!</v>
      </c>
      <c r="M532" s="591" t="e">
        <f ca="1">BU359</f>
        <v>#NUM!</v>
      </c>
      <c r="N532" s="142"/>
      <c r="O532" s="142"/>
      <c r="P532" s="142"/>
      <c r="Q532" s="142"/>
      <c r="R532" s="142"/>
      <c r="S532" s="142"/>
      <c r="T532" s="142"/>
      <c r="U532" s="142"/>
      <c r="V532" s="142"/>
    </row>
    <row r="533" spans="2:23" x14ac:dyDescent="0.25">
      <c r="B533" s="588" t="s">
        <v>477</v>
      </c>
      <c r="C533" s="590">
        <f ca="1">C360</f>
        <v>28.995190803338723</v>
      </c>
      <c r="D533" s="590">
        <f ca="1">J360</f>
        <v>28.446083911931886</v>
      </c>
      <c r="E533" s="590">
        <f ca="1">Q360</f>
        <v>27.813951781509736</v>
      </c>
      <c r="F533" s="591">
        <f ca="1">X360</f>
        <v>27.158597082468866</v>
      </c>
      <c r="G533" s="591">
        <f ca="1">AE360</f>
        <v>26.297636920525761</v>
      </c>
      <c r="H533" s="591">
        <f ca="1">AL360</f>
        <v>25.694594499946071</v>
      </c>
      <c r="I533" s="591">
        <f ca="1">AS360</f>
        <v>26.481520433835406</v>
      </c>
      <c r="J533" s="591">
        <f ca="1">AZ360</f>
        <v>47.362192338000284</v>
      </c>
      <c r="K533" s="591">
        <f ca="1">BG360</f>
        <v>145.61067706751621</v>
      </c>
      <c r="L533" s="591" t="e">
        <f ca="1">BN360</f>
        <v>#NUM!</v>
      </c>
      <c r="M533" s="591" t="e">
        <f ca="1">BU360</f>
        <v>#NUM!</v>
      </c>
      <c r="N533" s="142"/>
      <c r="O533" s="142"/>
      <c r="P533" s="142"/>
      <c r="Q533" s="142"/>
      <c r="R533" s="142"/>
      <c r="S533" s="142"/>
      <c r="T533" s="142"/>
      <c r="U533" s="142"/>
      <c r="V533" s="142"/>
    </row>
    <row r="534" spans="2:23" x14ac:dyDescent="0.25">
      <c r="B534" s="588" t="s">
        <v>882</v>
      </c>
      <c r="C534" s="589">
        <f>$AI$427</f>
        <v>150</v>
      </c>
      <c r="D534" s="589">
        <f t="shared" ref="D534:M534" si="644">$AC$427</f>
        <v>200</v>
      </c>
      <c r="E534" s="589">
        <f t="shared" si="644"/>
        <v>200</v>
      </c>
      <c r="F534" s="589">
        <f t="shared" si="644"/>
        <v>200</v>
      </c>
      <c r="G534" s="589">
        <f t="shared" si="644"/>
        <v>200</v>
      </c>
      <c r="H534" s="589">
        <f t="shared" si="644"/>
        <v>200</v>
      </c>
      <c r="I534" s="589">
        <f t="shared" si="644"/>
        <v>200</v>
      </c>
      <c r="J534" s="589">
        <f t="shared" si="644"/>
        <v>200</v>
      </c>
      <c r="K534" s="589">
        <f t="shared" si="644"/>
        <v>200</v>
      </c>
      <c r="L534" s="589">
        <f t="shared" si="644"/>
        <v>200</v>
      </c>
      <c r="M534" s="589">
        <f t="shared" si="644"/>
        <v>200</v>
      </c>
      <c r="N534" s="142"/>
      <c r="O534" s="142"/>
      <c r="P534" s="142"/>
      <c r="Q534" s="142"/>
      <c r="R534" s="142"/>
      <c r="S534" s="142"/>
      <c r="T534" s="142"/>
      <c r="U534" s="142"/>
      <c r="V534" s="142"/>
    </row>
    <row r="535" spans="2:23" x14ac:dyDescent="0.25">
      <c r="B535" s="588" t="s">
        <v>170</v>
      </c>
      <c r="C535" s="590">
        <f>C370</f>
        <v>52.421988751491575</v>
      </c>
      <c r="D535" s="590">
        <f>J370</f>
        <v>52.421988751491575</v>
      </c>
      <c r="E535" s="590">
        <f>Q370</f>
        <v>52.421988751491575</v>
      </c>
      <c r="F535" s="591">
        <f>X370</f>
        <v>52.421988751491575</v>
      </c>
      <c r="G535" s="591">
        <f>AE370</f>
        <v>52.421988751491575</v>
      </c>
      <c r="H535" s="591">
        <f>AL370</f>
        <v>52.421988751491575</v>
      </c>
      <c r="I535" s="591">
        <f>AS370</f>
        <v>54.878321988194301</v>
      </c>
      <c r="J535" s="591">
        <f>AZ370</f>
        <v>76.506800813381091</v>
      </c>
      <c r="K535" s="591">
        <f>BG370</f>
        <v>97.332929628116645</v>
      </c>
      <c r="L535" s="591">
        <f>BN370</f>
        <v>125.00821291126431</v>
      </c>
      <c r="M535" s="591">
        <f>BU370</f>
        <v>168.7990451097827</v>
      </c>
      <c r="N535" s="142"/>
      <c r="O535" s="142"/>
      <c r="P535" s="142"/>
      <c r="Q535" s="142"/>
      <c r="R535" s="142"/>
      <c r="S535" s="142"/>
      <c r="T535" s="142"/>
      <c r="U535" s="142"/>
      <c r="V535" s="142"/>
    </row>
    <row r="536" spans="2:23" x14ac:dyDescent="0.25">
      <c r="B536" s="588" t="s">
        <v>602</v>
      </c>
      <c r="C536" s="590">
        <f>C371</f>
        <v>72.156501773064008</v>
      </c>
      <c r="D536" s="590">
        <f>J371</f>
        <v>72.156501773064008</v>
      </c>
      <c r="E536" s="590">
        <f>Q371</f>
        <v>72.156501773064008</v>
      </c>
      <c r="F536" s="591">
        <f>X371</f>
        <v>72.156501773064008</v>
      </c>
      <c r="G536" s="591">
        <f>AE371</f>
        <v>72.156501773064008</v>
      </c>
      <c r="H536" s="591">
        <f>AL371</f>
        <v>72.156501773064008</v>
      </c>
      <c r="I536" s="591">
        <f>AS371</f>
        <v>74.612835009766741</v>
      </c>
      <c r="J536" s="591">
        <f>AZ371</f>
        <v>96.24131383495353</v>
      </c>
      <c r="K536" s="591">
        <f>BG371</f>
        <v>117.06744264968908</v>
      </c>
      <c r="L536" s="591">
        <f>BN371</f>
        <v>144.74272593283675</v>
      </c>
      <c r="M536" s="591">
        <f>BU371</f>
        <v>188.53355813135514</v>
      </c>
      <c r="N536" s="142"/>
      <c r="O536" s="142"/>
      <c r="P536" s="142"/>
      <c r="Q536" s="142"/>
      <c r="R536" s="142"/>
      <c r="S536" s="142"/>
      <c r="T536" s="142"/>
      <c r="U536" s="142"/>
      <c r="V536" s="142"/>
    </row>
    <row r="537" spans="2:23" x14ac:dyDescent="0.25">
      <c r="B537" s="588" t="s">
        <v>478</v>
      </c>
      <c r="C537" s="590">
        <f ca="1">C372</f>
        <v>47.855655579254517</v>
      </c>
      <c r="D537" s="590">
        <f ca="1">J372</f>
        <v>47.30654868784768</v>
      </c>
      <c r="E537" s="590">
        <f ca="1">Q372</f>
        <v>46.674416557425531</v>
      </c>
      <c r="F537" s="591">
        <f ca="1">X372</f>
        <v>46.01906185838466</v>
      </c>
      <c r="G537" s="591">
        <f ca="1">AE372</f>
        <v>45.158101696441555</v>
      </c>
      <c r="H537" s="591">
        <f ca="1">AL372</f>
        <v>44.555059275861865</v>
      </c>
      <c r="I537" s="591">
        <f ca="1">AS372</f>
        <v>45.341985209751201</v>
      </c>
      <c r="J537" s="591">
        <f ca="1">AZ372</f>
        <v>66.222657113916071</v>
      </c>
      <c r="K537" s="591">
        <f ca="1">BG372</f>
        <v>164.47114184343198</v>
      </c>
      <c r="L537" s="591" t="e">
        <f ca="1">BN372</f>
        <v>#NUM!</v>
      </c>
      <c r="M537" s="591" t="e">
        <f ca="1">BU372</f>
        <v>#NUM!</v>
      </c>
      <c r="N537" s="142"/>
      <c r="O537" s="142"/>
      <c r="P537" s="142"/>
      <c r="Q537" s="142"/>
      <c r="R537" s="142"/>
      <c r="S537" s="142"/>
      <c r="T537" s="142"/>
      <c r="U537" s="142"/>
      <c r="V537" s="142"/>
    </row>
    <row r="538" spans="2:23" x14ac:dyDescent="0.25">
      <c r="B538" s="588" t="s">
        <v>477</v>
      </c>
      <c r="C538" s="590">
        <f ca="1">C373</f>
        <v>32.855655579254517</v>
      </c>
      <c r="D538" s="590">
        <f ca="1">J373</f>
        <v>32.30654868784768</v>
      </c>
      <c r="E538" s="590">
        <f ca="1">Q373</f>
        <v>31.674416557425531</v>
      </c>
      <c r="F538" s="591">
        <f ca="1">X373</f>
        <v>31.01906185838466</v>
      </c>
      <c r="G538" s="591">
        <f ca="1">AE373</f>
        <v>30.158101696441555</v>
      </c>
      <c r="H538" s="591">
        <f ca="1">AL373</f>
        <v>29.555059275861865</v>
      </c>
      <c r="I538" s="591">
        <f ca="1">AS373</f>
        <v>30.341985209751201</v>
      </c>
      <c r="J538" s="591">
        <f ca="1">AZ373</f>
        <v>51.222657113916071</v>
      </c>
      <c r="K538" s="591">
        <f ca="1">BG373</f>
        <v>149.47114184343198</v>
      </c>
      <c r="L538" s="591" t="e">
        <f ca="1">BN373</f>
        <v>#NUM!</v>
      </c>
      <c r="M538" s="591" t="e">
        <f ca="1">BU373</f>
        <v>#NUM!</v>
      </c>
      <c r="N538" s="142"/>
      <c r="O538" s="142"/>
      <c r="P538" s="142"/>
      <c r="Q538" s="142"/>
      <c r="R538" s="142"/>
      <c r="S538" s="142"/>
      <c r="T538" s="142"/>
      <c r="U538" s="142"/>
      <c r="V538" s="142"/>
    </row>
    <row r="539" spans="2:23" x14ac:dyDescent="0.25">
      <c r="C539" s="151"/>
      <c r="D539" s="151"/>
      <c r="E539" s="151"/>
      <c r="F539" s="151"/>
      <c r="G539" s="151"/>
      <c r="H539" s="151"/>
      <c r="I539" s="151"/>
      <c r="J539" s="151"/>
      <c r="K539" s="151"/>
      <c r="L539" s="151"/>
      <c r="M539" s="151"/>
      <c r="N539" s="142"/>
      <c r="O539" s="142"/>
      <c r="P539" s="142"/>
      <c r="Q539" s="142"/>
      <c r="R539" s="142"/>
      <c r="S539" s="142"/>
      <c r="T539" s="142"/>
      <c r="U539" s="142"/>
      <c r="V539" s="142"/>
    </row>
    <row r="540" spans="2:23" x14ac:dyDescent="0.25">
      <c r="C540" s="151"/>
      <c r="D540" s="151"/>
      <c r="E540" s="151"/>
      <c r="F540" s="151"/>
      <c r="G540" s="151"/>
      <c r="H540" s="151"/>
      <c r="I540" s="151"/>
      <c r="J540" s="151"/>
      <c r="K540" s="151"/>
      <c r="L540" s="151"/>
      <c r="M540" s="151"/>
      <c r="N540" s="142"/>
      <c r="O540" s="142"/>
      <c r="P540" s="142"/>
      <c r="Q540" s="142"/>
      <c r="R540" s="142"/>
      <c r="S540" s="142"/>
      <c r="T540" s="142"/>
      <c r="U540" s="142"/>
      <c r="V540" s="142"/>
    </row>
    <row r="541" spans="2:23" x14ac:dyDescent="0.25">
      <c r="W541" t="str">
        <f>""</f>
        <v/>
      </c>
    </row>
    <row r="542" spans="2:23" ht="20.25" thickBot="1" x14ac:dyDescent="0.35">
      <c r="B542" s="2" t="s">
        <v>432</v>
      </c>
      <c r="W542" t="str">
        <f>""</f>
        <v/>
      </c>
    </row>
    <row r="543" spans="2:23" ht="15.75" thickTop="1" x14ac:dyDescent="0.25"/>
    <row r="544" spans="2:23" x14ac:dyDescent="0.25">
      <c r="C544" s="142" t="s">
        <v>334</v>
      </c>
      <c r="D544" s="142" t="s">
        <v>335</v>
      </c>
      <c r="E544" s="142" t="s">
        <v>353</v>
      </c>
      <c r="F544" s="142" t="s">
        <v>354</v>
      </c>
      <c r="G544" s="142" t="s">
        <v>355</v>
      </c>
      <c r="H544" s="142" t="s">
        <v>356</v>
      </c>
      <c r="I544" s="142" t="s">
        <v>400</v>
      </c>
      <c r="J544" s="142" t="s">
        <v>415</v>
      </c>
      <c r="K544" s="142" t="s">
        <v>416</v>
      </c>
      <c r="L544" s="142" t="s">
        <v>417</v>
      </c>
      <c r="M544" s="142" t="s">
        <v>418</v>
      </c>
    </row>
    <row r="545" spans="2:13" x14ac:dyDescent="0.25">
      <c r="B545" t="s">
        <v>53</v>
      </c>
      <c r="C545" s="147">
        <f t="shared" ref="C545:M545" si="645">ROUND(C494*$C$4,0)</f>
        <v>254</v>
      </c>
      <c r="D545" s="147">
        <f t="shared" si="645"/>
        <v>213</v>
      </c>
      <c r="E545" s="147">
        <f t="shared" si="645"/>
        <v>179</v>
      </c>
      <c r="F545" s="147">
        <f t="shared" si="645"/>
        <v>157</v>
      </c>
      <c r="G545" s="147">
        <f t="shared" si="645"/>
        <v>131</v>
      </c>
      <c r="H545" s="147">
        <f t="shared" si="645"/>
        <v>116</v>
      </c>
      <c r="I545" s="147">
        <f t="shared" si="645"/>
        <v>97</v>
      </c>
      <c r="J545" s="147">
        <f t="shared" si="645"/>
        <v>79</v>
      </c>
      <c r="K545" s="147">
        <f t="shared" si="645"/>
        <v>69</v>
      </c>
      <c r="L545" s="147">
        <f t="shared" si="645"/>
        <v>60</v>
      </c>
      <c r="M545" s="147">
        <f t="shared" si="645"/>
        <v>51</v>
      </c>
    </row>
    <row r="546" spans="2:13" x14ac:dyDescent="0.25">
      <c r="B546" t="s">
        <v>165</v>
      </c>
      <c r="C546" s="147">
        <f t="shared" ref="C546:M546" si="646">ROUND(C495*$C$4,0)</f>
        <v>100</v>
      </c>
      <c r="D546" s="147">
        <f t="shared" si="646"/>
        <v>100</v>
      </c>
      <c r="E546" s="147">
        <f t="shared" si="646"/>
        <v>100</v>
      </c>
      <c r="F546" s="147">
        <f t="shared" si="646"/>
        <v>100</v>
      </c>
      <c r="G546" s="147">
        <f t="shared" si="646"/>
        <v>100</v>
      </c>
      <c r="H546" s="147">
        <f t="shared" si="646"/>
        <v>100</v>
      </c>
      <c r="I546" s="147">
        <f t="shared" si="646"/>
        <v>100</v>
      </c>
      <c r="J546" s="147">
        <f t="shared" si="646"/>
        <v>100</v>
      </c>
      <c r="K546" s="147">
        <f t="shared" si="646"/>
        <v>100</v>
      </c>
      <c r="L546" s="147">
        <f t="shared" si="646"/>
        <v>100</v>
      </c>
      <c r="M546" s="147">
        <f t="shared" si="646"/>
        <v>100</v>
      </c>
    </row>
    <row r="547" spans="2:13" x14ac:dyDescent="0.25">
      <c r="B547" t="s">
        <v>627</v>
      </c>
      <c r="C547" s="5">
        <f t="shared" ref="C547:M547" si="647">C496</f>
        <v>40</v>
      </c>
      <c r="D547" s="5">
        <f t="shared" si="647"/>
        <v>40</v>
      </c>
      <c r="E547" s="5">
        <f t="shared" si="647"/>
        <v>40</v>
      </c>
      <c r="F547" s="5">
        <f t="shared" si="647"/>
        <v>40</v>
      </c>
      <c r="G547" s="5">
        <f t="shared" si="647"/>
        <v>40</v>
      </c>
      <c r="H547" s="5">
        <f t="shared" si="647"/>
        <v>40</v>
      </c>
      <c r="I547" s="5">
        <f t="shared" si="647"/>
        <v>40</v>
      </c>
      <c r="J547" s="5">
        <f t="shared" si="647"/>
        <v>40</v>
      </c>
      <c r="K547" s="5">
        <f t="shared" si="647"/>
        <v>40</v>
      </c>
      <c r="L547" s="5">
        <f t="shared" si="647"/>
        <v>40</v>
      </c>
      <c r="M547" s="5">
        <f t="shared" si="647"/>
        <v>40</v>
      </c>
    </row>
    <row r="548" spans="2:13" x14ac:dyDescent="0.25">
      <c r="B548" t="s">
        <v>587</v>
      </c>
      <c r="C548" s="314">
        <f t="shared" ref="C548:M548" ca="1" si="648">IF(C497&gt;100%,"-",C497)</f>
        <v>0.27</v>
      </c>
      <c r="D548" s="314">
        <f t="shared" ca="1" si="648"/>
        <v>0.34</v>
      </c>
      <c r="E548" s="314">
        <f t="shared" ca="1" si="648"/>
        <v>0.44</v>
      </c>
      <c r="F548" s="314">
        <f t="shared" ca="1" si="648"/>
        <v>0.55000000000000004</v>
      </c>
      <c r="G548" s="314">
        <f t="shared" ca="1" si="648"/>
        <v>0.67</v>
      </c>
      <c r="H548" s="314">
        <f t="shared" ca="1" si="648"/>
        <v>0.78</v>
      </c>
      <c r="I548" s="314" t="str">
        <f t="shared" ca="1" si="648"/>
        <v>-</v>
      </c>
      <c r="J548" s="314" t="str">
        <f t="shared" ca="1" si="648"/>
        <v>-</v>
      </c>
      <c r="K548" s="314" t="str">
        <f t="shared" ca="1" si="648"/>
        <v>-</v>
      </c>
      <c r="L548" s="314" t="str">
        <f t="shared" ca="1" si="648"/>
        <v>-</v>
      </c>
      <c r="M548" s="314" t="str">
        <f t="shared" ca="1" si="648"/>
        <v>-</v>
      </c>
    </row>
    <row r="549" spans="2:13" x14ac:dyDescent="0.25">
      <c r="B549" t="s">
        <v>628</v>
      </c>
      <c r="C549" s="5">
        <f t="shared" ref="C549:M549" si="649">IF(ROUND(C498,1)&lt;5, "&lt; 5",ROUND(C498,1))</f>
        <v>6.2</v>
      </c>
      <c r="D549" s="5">
        <f t="shared" si="649"/>
        <v>8.8000000000000007</v>
      </c>
      <c r="E549" s="5">
        <f t="shared" si="649"/>
        <v>12.4</v>
      </c>
      <c r="F549" s="5">
        <f t="shared" si="649"/>
        <v>16.3</v>
      </c>
      <c r="G549" s="5">
        <f t="shared" si="649"/>
        <v>23.1</v>
      </c>
      <c r="H549" s="5">
        <f t="shared" si="649"/>
        <v>29.5</v>
      </c>
      <c r="I549" s="5">
        <f t="shared" si="649"/>
        <v>42.5</v>
      </c>
      <c r="J549" s="5">
        <f t="shared" si="649"/>
        <v>64.099999999999994</v>
      </c>
      <c r="K549" s="5">
        <f t="shared" si="649"/>
        <v>84.9</v>
      </c>
      <c r="L549" s="5">
        <f t="shared" si="649"/>
        <v>112.6</v>
      </c>
      <c r="M549" s="5">
        <f t="shared" si="649"/>
        <v>156.4</v>
      </c>
    </row>
    <row r="550" spans="2:13" x14ac:dyDescent="0.25">
      <c r="B550" t="s">
        <v>64</v>
      </c>
      <c r="C550" s="5">
        <f t="shared" ref="C550:M550" si="650">C499</f>
        <v>0.3</v>
      </c>
      <c r="D550" s="5">
        <f t="shared" si="650"/>
        <v>0.3</v>
      </c>
      <c r="E550" s="5">
        <f t="shared" si="650"/>
        <v>0.3</v>
      </c>
      <c r="F550" s="5">
        <f t="shared" si="650"/>
        <v>0.3</v>
      </c>
      <c r="G550" s="5">
        <f t="shared" si="650"/>
        <v>0.3</v>
      </c>
      <c r="H550" s="5">
        <f t="shared" si="650"/>
        <v>0.3</v>
      </c>
      <c r="I550" s="5">
        <f t="shared" si="650"/>
        <v>0.3</v>
      </c>
      <c r="J550" s="5">
        <f t="shared" si="650"/>
        <v>0.3</v>
      </c>
      <c r="K550" s="5">
        <f t="shared" si="650"/>
        <v>0.3</v>
      </c>
      <c r="L550" s="5">
        <f t="shared" si="650"/>
        <v>0.3</v>
      </c>
      <c r="M550" s="5">
        <f t="shared" si="650"/>
        <v>0.3</v>
      </c>
    </row>
    <row r="551" spans="2:13" x14ac:dyDescent="0.25">
      <c r="B551" t="s">
        <v>54</v>
      </c>
      <c r="C551" s="5">
        <f t="shared" ref="C551:M551" si="651">ROUND(C500*$C$4,0)</f>
        <v>30</v>
      </c>
      <c r="D551" s="5">
        <f t="shared" si="651"/>
        <v>30</v>
      </c>
      <c r="E551" s="5">
        <f t="shared" si="651"/>
        <v>30</v>
      </c>
      <c r="F551" s="5">
        <f t="shared" si="651"/>
        <v>30</v>
      </c>
      <c r="G551" s="5">
        <f t="shared" si="651"/>
        <v>30</v>
      </c>
      <c r="H551" s="5">
        <f t="shared" si="651"/>
        <v>30</v>
      </c>
      <c r="I551" s="5">
        <f t="shared" si="651"/>
        <v>30</v>
      </c>
      <c r="J551" s="5">
        <f t="shared" si="651"/>
        <v>30</v>
      </c>
      <c r="K551" s="5">
        <f t="shared" si="651"/>
        <v>30</v>
      </c>
      <c r="L551" s="5">
        <f t="shared" si="651"/>
        <v>30</v>
      </c>
      <c r="M551" s="5">
        <f t="shared" si="651"/>
        <v>30</v>
      </c>
    </row>
    <row r="552" spans="2:13" x14ac:dyDescent="0.25">
      <c r="B552" t="s">
        <v>57</v>
      </c>
      <c r="C552" s="314">
        <f t="shared" ref="C552:M552" si="652">ROUND(C501,3)</f>
        <v>0.22</v>
      </c>
      <c r="D552" s="314">
        <f t="shared" si="652"/>
        <v>0.185</v>
      </c>
      <c r="E552" s="314">
        <f t="shared" si="652"/>
        <v>0.155</v>
      </c>
      <c r="F552" s="314">
        <f t="shared" si="652"/>
        <v>0.13600000000000001</v>
      </c>
      <c r="G552" s="314">
        <f t="shared" si="652"/>
        <v>0.114</v>
      </c>
      <c r="H552" s="314">
        <f t="shared" si="652"/>
        <v>0.10100000000000001</v>
      </c>
      <c r="I552" s="314">
        <f t="shared" si="652"/>
        <v>0.1</v>
      </c>
      <c r="J552" s="314">
        <f t="shared" si="652"/>
        <v>0.1</v>
      </c>
      <c r="K552" s="314">
        <f t="shared" si="652"/>
        <v>0.1</v>
      </c>
      <c r="L552" s="314">
        <f t="shared" si="652"/>
        <v>0.1</v>
      </c>
      <c r="M552" s="314">
        <f t="shared" si="652"/>
        <v>0.1</v>
      </c>
    </row>
    <row r="553" spans="2:13" x14ac:dyDescent="0.25">
      <c r="B553" s="4" t="s">
        <v>55</v>
      </c>
      <c r="C553" s="5">
        <f t="shared" ref="C553:M553" si="653">ROUND(C502*$C$4,1)</f>
        <v>22</v>
      </c>
      <c r="D553" s="5">
        <f t="shared" si="653"/>
        <v>18.5</v>
      </c>
      <c r="E553" s="5">
        <f t="shared" si="653"/>
        <v>15.5</v>
      </c>
      <c r="F553" s="5">
        <f t="shared" si="653"/>
        <v>13.6</v>
      </c>
      <c r="G553" s="5">
        <f t="shared" si="653"/>
        <v>11.4</v>
      </c>
      <c r="H553" s="5">
        <f t="shared" si="653"/>
        <v>10.1</v>
      </c>
      <c r="I553" s="5">
        <f t="shared" si="653"/>
        <v>10</v>
      </c>
      <c r="J553" s="5">
        <f t="shared" si="653"/>
        <v>10</v>
      </c>
      <c r="K553" s="5">
        <f t="shared" si="653"/>
        <v>10</v>
      </c>
      <c r="L553" s="5">
        <f t="shared" si="653"/>
        <v>10</v>
      </c>
      <c r="M553" s="5">
        <f t="shared" si="653"/>
        <v>10</v>
      </c>
    </row>
    <row r="554" spans="2:13" x14ac:dyDescent="0.25">
      <c r="B554" s="4" t="s">
        <v>197</v>
      </c>
      <c r="C554" s="146">
        <f t="shared" ref="C554:M554" ca="1" si="654">IF(C503&gt;15,15,ROUND(C503,1))</f>
        <v>8.3000000000000007</v>
      </c>
      <c r="D554" s="146">
        <f t="shared" ca="1" si="654"/>
        <v>9.4</v>
      </c>
      <c r="E554" s="146">
        <f t="shared" ca="1" si="654"/>
        <v>10.4</v>
      </c>
      <c r="F554" s="146">
        <f t="shared" ca="1" si="654"/>
        <v>11.2</v>
      </c>
      <c r="G554" s="146">
        <f t="shared" ca="1" si="654"/>
        <v>12.1</v>
      </c>
      <c r="H554" s="146">
        <f t="shared" ca="1" si="654"/>
        <v>12.9</v>
      </c>
      <c r="I554" s="146">
        <f t="shared" ca="1" si="654"/>
        <v>13.7</v>
      </c>
      <c r="J554" s="146">
        <f t="shared" ca="1" si="654"/>
        <v>14.6</v>
      </c>
      <c r="K554" s="146">
        <f t="shared" ca="1" si="654"/>
        <v>15</v>
      </c>
      <c r="L554" s="146">
        <f t="shared" ca="1" si="654"/>
        <v>15</v>
      </c>
      <c r="M554" s="146">
        <f t="shared" ca="1" si="654"/>
        <v>15</v>
      </c>
    </row>
    <row r="555" spans="2:13" x14ac:dyDescent="0.25">
      <c r="B555" s="4" t="s">
        <v>294</v>
      </c>
      <c r="C555" s="146">
        <f t="shared" ref="C555:M555" ca="1" si="655">IF(C504&gt;15,15,ROUND(C504,1))</f>
        <v>5.6</v>
      </c>
      <c r="D555" s="146">
        <f t="shared" ca="1" si="655"/>
        <v>6.2</v>
      </c>
      <c r="E555" s="146">
        <f t="shared" ca="1" si="655"/>
        <v>6.9</v>
      </c>
      <c r="F555" s="146">
        <f t="shared" ca="1" si="655"/>
        <v>7.4</v>
      </c>
      <c r="G555" s="146">
        <f t="shared" ca="1" si="655"/>
        <v>8.1</v>
      </c>
      <c r="H555" s="146">
        <f t="shared" ca="1" si="655"/>
        <v>8.6</v>
      </c>
      <c r="I555" s="146">
        <f t="shared" ca="1" si="655"/>
        <v>9.1</v>
      </c>
      <c r="J555" s="146">
        <f t="shared" ca="1" si="655"/>
        <v>9.6999999999999993</v>
      </c>
      <c r="K555" s="146">
        <f t="shared" ca="1" si="655"/>
        <v>10</v>
      </c>
      <c r="L555" s="146">
        <f t="shared" ca="1" si="655"/>
        <v>10.4</v>
      </c>
      <c r="M555" s="146">
        <f t="shared" ca="1" si="655"/>
        <v>10.7</v>
      </c>
    </row>
    <row r="556" spans="2:13" x14ac:dyDescent="0.25">
      <c r="B556" s="4" t="s">
        <v>289</v>
      </c>
      <c r="C556" s="5">
        <f t="shared" ref="C556:M556" si="656">IF(AND(ISNUMBER(C505),ISNUMBER(C506)),ROUND(C505,1),"-")</f>
        <v>8.4</v>
      </c>
      <c r="D556" s="5">
        <f t="shared" si="656"/>
        <v>8.5</v>
      </c>
      <c r="E556" s="5">
        <f t="shared" si="656"/>
        <v>8.6999999999999993</v>
      </c>
      <c r="F556" s="5">
        <f t="shared" si="656"/>
        <v>8.8000000000000007</v>
      </c>
      <c r="G556" s="5">
        <f t="shared" si="656"/>
        <v>9.1999999999999993</v>
      </c>
      <c r="H556" s="5">
        <f t="shared" si="656"/>
        <v>9.3000000000000007</v>
      </c>
      <c r="I556" s="5">
        <f t="shared" si="656"/>
        <v>9.3000000000000007</v>
      </c>
      <c r="J556" s="5">
        <f t="shared" si="656"/>
        <v>9.3000000000000007</v>
      </c>
      <c r="K556" s="5">
        <f t="shared" si="656"/>
        <v>9.3000000000000007</v>
      </c>
      <c r="L556" s="5">
        <f t="shared" si="656"/>
        <v>9.3000000000000007</v>
      </c>
      <c r="M556" s="5">
        <f t="shared" si="656"/>
        <v>9.3000000000000007</v>
      </c>
    </row>
    <row r="557" spans="2:13" x14ac:dyDescent="0.25">
      <c r="B557" t="s">
        <v>290</v>
      </c>
      <c r="C557" s="5">
        <f t="shared" ref="C557:M557" si="657">IF(AND(ISNUMBER(C506),ISNUMBER(C507)),ROUND(C506,1),"-")</f>
        <v>7.5</v>
      </c>
      <c r="D557" s="5">
        <f t="shared" si="657"/>
        <v>7.6</v>
      </c>
      <c r="E557" s="5">
        <f t="shared" si="657"/>
        <v>7.8</v>
      </c>
      <c r="F557" s="5">
        <f t="shared" si="657"/>
        <v>8</v>
      </c>
      <c r="G557" s="5">
        <f t="shared" si="657"/>
        <v>8.3000000000000007</v>
      </c>
      <c r="H557" s="5">
        <f t="shared" si="657"/>
        <v>8.6</v>
      </c>
      <c r="I557" s="5">
        <f t="shared" si="657"/>
        <v>9.3000000000000007</v>
      </c>
      <c r="J557" s="5">
        <f t="shared" si="657"/>
        <v>9.3000000000000007</v>
      </c>
      <c r="K557" s="5">
        <f t="shared" si="657"/>
        <v>9.3000000000000007</v>
      </c>
      <c r="L557" s="5">
        <f t="shared" si="657"/>
        <v>9.3000000000000007</v>
      </c>
      <c r="M557" s="5">
        <f t="shared" si="657"/>
        <v>9.3000000000000007</v>
      </c>
    </row>
    <row r="558" spans="2:13" x14ac:dyDescent="0.25">
      <c r="B558" t="s">
        <v>22</v>
      </c>
      <c r="C558" s="5">
        <f t="shared" ref="C558:M558" si="658">IF(AND(ISNUMBER(C506),ISNUMBER(C507)),ROUND(C507,1),"-")</f>
        <v>2.2999999999999998</v>
      </c>
      <c r="D558" s="5">
        <f t="shared" si="658"/>
        <v>2.2999999999999998</v>
      </c>
      <c r="E558" s="5">
        <f t="shared" si="658"/>
        <v>2.4</v>
      </c>
      <c r="F558" s="5">
        <f t="shared" si="658"/>
        <v>2.4</v>
      </c>
      <c r="G558" s="5">
        <f t="shared" si="658"/>
        <v>2.4</v>
      </c>
      <c r="H558" s="5">
        <f t="shared" si="658"/>
        <v>2.5</v>
      </c>
      <c r="I558" s="5">
        <f t="shared" si="658"/>
        <v>2.6</v>
      </c>
      <c r="J558" s="5">
        <f t="shared" si="658"/>
        <v>2.7</v>
      </c>
      <c r="K558" s="5">
        <f t="shared" si="658"/>
        <v>2.9</v>
      </c>
      <c r="L558" s="5">
        <f t="shared" si="658"/>
        <v>3.1</v>
      </c>
      <c r="M558" s="5">
        <f t="shared" si="658"/>
        <v>3.4</v>
      </c>
    </row>
    <row r="559" spans="2:13" x14ac:dyDescent="0.25">
      <c r="B559" t="s">
        <v>21</v>
      </c>
      <c r="C559" s="146">
        <f t="shared" ref="C559:M559" si="659">ROUND(C508,1)</f>
        <v>2.2000000000000002</v>
      </c>
      <c r="D559" s="146">
        <f t="shared" si="659"/>
        <v>2.2000000000000002</v>
      </c>
      <c r="E559" s="146">
        <f t="shared" si="659"/>
        <v>2.2000000000000002</v>
      </c>
      <c r="F559" s="146">
        <f t="shared" si="659"/>
        <v>2.2000000000000002</v>
      </c>
      <c r="G559" s="146">
        <f t="shared" si="659"/>
        <v>2.2000000000000002</v>
      </c>
      <c r="H559" s="146">
        <f t="shared" si="659"/>
        <v>2.2000000000000002</v>
      </c>
      <c r="I559" s="146">
        <f t="shared" si="659"/>
        <v>2.2000000000000002</v>
      </c>
      <c r="J559" s="146">
        <f t="shared" si="659"/>
        <v>2.2999999999999998</v>
      </c>
      <c r="K559" s="146">
        <f t="shared" si="659"/>
        <v>2.2999999999999998</v>
      </c>
      <c r="L559" s="146">
        <f t="shared" si="659"/>
        <v>2.2999999999999998</v>
      </c>
      <c r="M559" s="146">
        <f t="shared" si="659"/>
        <v>2.2999999999999998</v>
      </c>
    </row>
    <row r="560" spans="2:13" x14ac:dyDescent="0.25">
      <c r="B560" t="s">
        <v>139</v>
      </c>
      <c r="C560" s="5">
        <f t="shared" ref="C560:M560" ca="1" si="660">IF(OR(C$557="",C$558=""),"",ROUND(C509,2))</f>
        <v>0.11</v>
      </c>
      <c r="D560" s="5">
        <f t="shared" ca="1" si="660"/>
        <v>0.11</v>
      </c>
      <c r="E560" s="5">
        <f t="shared" ca="1" si="660"/>
        <v>0.11</v>
      </c>
      <c r="F560" s="5">
        <f t="shared" ca="1" si="660"/>
        <v>0.11</v>
      </c>
      <c r="G560" s="5">
        <f t="shared" ca="1" si="660"/>
        <v>0.12</v>
      </c>
      <c r="H560" s="5">
        <f t="shared" ca="1" si="660"/>
        <v>0.12</v>
      </c>
      <c r="I560" s="5">
        <f t="shared" ca="1" si="660"/>
        <v>0.12</v>
      </c>
      <c r="J560" s="5">
        <f t="shared" ca="1" si="660"/>
        <v>0.13</v>
      </c>
      <c r="K560" s="5">
        <f t="shared" ca="1" si="660"/>
        <v>0.13</v>
      </c>
      <c r="L560" s="5">
        <f t="shared" ca="1" si="660"/>
        <v>0.13</v>
      </c>
      <c r="M560" s="5">
        <f t="shared" ca="1" si="660"/>
        <v>0.14000000000000001</v>
      </c>
    </row>
    <row r="561" spans="2:13" x14ac:dyDescent="0.25">
      <c r="B561" t="s">
        <v>93</v>
      </c>
      <c r="C561" s="5">
        <f t="shared" ref="C561:M561" ca="1" si="661">IF(OR(C$557="",C$558=""),"",ROUND(C510,3))</f>
        <v>8.7999999999999995E-2</v>
      </c>
      <c r="D561" s="5">
        <f t="shared" ca="1" si="661"/>
        <v>0.09</v>
      </c>
      <c r="E561" s="5">
        <f t="shared" ca="1" si="661"/>
        <v>9.2999999999999999E-2</v>
      </c>
      <c r="F561" s="5">
        <f t="shared" ca="1" si="661"/>
        <v>9.5000000000000001E-2</v>
      </c>
      <c r="G561" s="5">
        <f t="shared" ca="1" si="661"/>
        <v>9.8000000000000004E-2</v>
      </c>
      <c r="H561" s="5">
        <f t="shared" ca="1" si="661"/>
        <v>0.10100000000000001</v>
      </c>
      <c r="I561" s="5">
        <f t="shared" ca="1" si="661"/>
        <v>0.106</v>
      </c>
      <c r="J561" s="5">
        <f t="shared" ca="1" si="661"/>
        <v>0.111</v>
      </c>
      <c r="K561" s="5">
        <f t="shared" ca="1" si="661"/>
        <v>0.11600000000000001</v>
      </c>
      <c r="L561" s="5">
        <f t="shared" ca="1" si="661"/>
        <v>0.121</v>
      </c>
      <c r="M561" s="5">
        <f t="shared" ca="1" si="661"/>
        <v>0.127</v>
      </c>
    </row>
    <row r="562" spans="2:13" x14ac:dyDescent="0.25">
      <c r="B562" s="4" t="s">
        <v>125</v>
      </c>
      <c r="C562" s="5">
        <f t="shared" ref="C562:M562" ca="1" si="662">IF(OR(C$557="",C$558=""),"",ROUND(C511,3))</f>
        <v>5.6000000000000001E-2</v>
      </c>
      <c r="D562" s="5">
        <f t="shared" ca="1" si="662"/>
        <v>5.7000000000000002E-2</v>
      </c>
      <c r="E562" s="5">
        <f t="shared" ca="1" si="662"/>
        <v>5.7000000000000002E-2</v>
      </c>
      <c r="F562" s="5">
        <f t="shared" ca="1" si="662"/>
        <v>5.8000000000000003E-2</v>
      </c>
      <c r="G562" s="5">
        <f t="shared" ca="1" si="662"/>
        <v>5.8999999999999997E-2</v>
      </c>
      <c r="H562" s="5">
        <f t="shared" ca="1" si="662"/>
        <v>0.06</v>
      </c>
      <c r="I562" s="5">
        <f t="shared" ca="1" si="662"/>
        <v>6.2E-2</v>
      </c>
      <c r="J562" s="5">
        <f t="shared" ca="1" si="662"/>
        <v>6.4000000000000001E-2</v>
      </c>
      <c r="K562" s="5">
        <f t="shared" ca="1" si="662"/>
        <v>6.6000000000000003E-2</v>
      </c>
      <c r="L562" s="5">
        <f t="shared" ca="1" si="662"/>
        <v>6.7000000000000004E-2</v>
      </c>
      <c r="M562" s="5">
        <f t="shared" ca="1" si="662"/>
        <v>7.0000000000000007E-2</v>
      </c>
    </row>
    <row r="563" spans="2:13" x14ac:dyDescent="0.25">
      <c r="B563" s="4" t="s">
        <v>604</v>
      </c>
      <c r="C563" s="5" t="str">
        <f t="shared" ref="C563:M563" ca="1" si="663">IF(OR(C$557="",C$558=""),"",C512)</f>
        <v>A</v>
      </c>
      <c r="D563" s="5" t="str">
        <f t="shared" ca="1" si="663"/>
        <v>A</v>
      </c>
      <c r="E563" s="5" t="str">
        <f t="shared" ca="1" si="663"/>
        <v>A</v>
      </c>
      <c r="F563" s="5" t="str">
        <f t="shared" ca="1" si="663"/>
        <v>A</v>
      </c>
      <c r="G563" s="5" t="str">
        <f t="shared" ca="1" si="663"/>
        <v>A</v>
      </c>
      <c r="H563" s="5" t="str">
        <f t="shared" ca="1" si="663"/>
        <v>B</v>
      </c>
      <c r="I563" s="5" t="str">
        <f t="shared" ca="1" si="663"/>
        <v>B</v>
      </c>
      <c r="J563" s="5" t="str">
        <f t="shared" ca="1" si="663"/>
        <v>B</v>
      </c>
      <c r="K563" s="5" t="str">
        <f t="shared" ca="1" si="663"/>
        <v>B</v>
      </c>
      <c r="L563" s="5" t="str">
        <f t="shared" ca="1" si="663"/>
        <v>B</v>
      </c>
      <c r="M563" s="5" t="str">
        <f t="shared" ca="1" si="663"/>
        <v>B</v>
      </c>
    </row>
    <row r="564" spans="2:13" x14ac:dyDescent="0.25">
      <c r="B564" s="4" t="s">
        <v>198</v>
      </c>
      <c r="C564" s="5" t="str">
        <f t="shared" ref="C564:M564" ca="1" si="664">IF(OR(C$557="",C$558=""),"","&lt; "&amp;C513)</f>
        <v>&lt; 0.2</v>
      </c>
      <c r="D564" s="5" t="str">
        <f t="shared" ca="1" si="664"/>
        <v>&lt; 0.2</v>
      </c>
      <c r="E564" s="5" t="str">
        <f t="shared" ca="1" si="664"/>
        <v>&lt; 0.2</v>
      </c>
      <c r="F564" s="5" t="str">
        <f t="shared" ca="1" si="664"/>
        <v>&lt; 0.2</v>
      </c>
      <c r="G564" s="5" t="str">
        <f t="shared" ca="1" si="664"/>
        <v>&lt; 0.2</v>
      </c>
      <c r="H564" s="5" t="str">
        <f t="shared" ca="1" si="664"/>
        <v>&lt; 0.2</v>
      </c>
      <c r="I564" s="5" t="str">
        <f t="shared" ca="1" si="664"/>
        <v>&lt; 0.2</v>
      </c>
      <c r="J564" s="5" t="str">
        <f t="shared" ca="1" si="664"/>
        <v>&lt; 0.2</v>
      </c>
      <c r="K564" s="5" t="str">
        <f t="shared" ca="1" si="664"/>
        <v>&lt; 0.3</v>
      </c>
      <c r="L564" s="5" t="str">
        <f t="shared" ca="1" si="664"/>
        <v>&lt; 0.3</v>
      </c>
      <c r="M564" s="5" t="str">
        <f t="shared" ca="1" si="664"/>
        <v>&lt; 0.3</v>
      </c>
    </row>
    <row r="565" spans="2:13" ht="45" x14ac:dyDescent="0.25">
      <c r="B565" s="211" t="s">
        <v>827</v>
      </c>
      <c r="C565" s="5" t="str">
        <f t="shared" ref="C565:M565" si="665">IF(ISNUMBER(C514),"DN"&amp;C514,C514)</f>
        <v>DN200</v>
      </c>
      <c r="D565" s="5" t="str">
        <f t="shared" si="665"/>
        <v>DN200</v>
      </c>
      <c r="E565" s="5" t="str">
        <f t="shared" si="665"/>
        <v>DN200</v>
      </c>
      <c r="F565" s="5" t="str">
        <f t="shared" si="665"/>
        <v>DN200</v>
      </c>
      <c r="G565" s="5" t="str">
        <f t="shared" si="665"/>
        <v>DN200</v>
      </c>
      <c r="H565" s="5" t="str">
        <f t="shared" si="665"/>
        <v>DN200</v>
      </c>
      <c r="I565" s="5" t="str">
        <f t="shared" si="665"/>
        <v>DN200</v>
      </c>
      <c r="J565" s="5" t="str">
        <f t="shared" si="665"/>
        <v>DN200</v>
      </c>
      <c r="K565" s="5" t="str">
        <f t="shared" si="665"/>
        <v>DN200</v>
      </c>
      <c r="L565" s="5" t="str">
        <f t="shared" si="665"/>
        <v>DN200</v>
      </c>
      <c r="M565" s="5" t="str">
        <f t="shared" si="665"/>
        <v>DN200</v>
      </c>
    </row>
    <row r="566" spans="2:13" x14ac:dyDescent="0.25">
      <c r="B566" t="s">
        <v>170</v>
      </c>
      <c r="C566" s="146">
        <f t="shared" ref="C566:M566" si="666">IFERROR(IF(C515&lt;5,"&lt;5",ROUND(C515,1)),"-")</f>
        <v>44.5</v>
      </c>
      <c r="D566" s="146">
        <f t="shared" si="666"/>
        <v>44.5</v>
      </c>
      <c r="E566" s="146">
        <f t="shared" si="666"/>
        <v>44.5</v>
      </c>
      <c r="F566" s="146">
        <f t="shared" si="666"/>
        <v>44.5</v>
      </c>
      <c r="G566" s="146">
        <f t="shared" si="666"/>
        <v>44.5</v>
      </c>
      <c r="H566" s="146">
        <f t="shared" si="666"/>
        <v>44.5</v>
      </c>
      <c r="I566" s="146">
        <f t="shared" si="666"/>
        <v>47</v>
      </c>
      <c r="J566" s="146">
        <f t="shared" si="666"/>
        <v>68.599999999999994</v>
      </c>
      <c r="K566" s="146">
        <f t="shared" si="666"/>
        <v>89.4</v>
      </c>
      <c r="L566" s="146">
        <f t="shared" si="666"/>
        <v>117.1</v>
      </c>
      <c r="M566" s="146">
        <f t="shared" si="666"/>
        <v>160.9</v>
      </c>
    </row>
    <row r="567" spans="2:13" x14ac:dyDescent="0.25">
      <c r="B567" t="s">
        <v>602</v>
      </c>
      <c r="C567" s="146">
        <f t="shared" ref="C567:M567" si="667">IFERROR(IF(C516&lt;5,"&lt;5",ROUND(C516,1)),"-")</f>
        <v>50.7</v>
      </c>
      <c r="D567" s="146">
        <f t="shared" si="667"/>
        <v>50.7</v>
      </c>
      <c r="E567" s="146">
        <f t="shared" si="667"/>
        <v>50.7</v>
      </c>
      <c r="F567" s="146">
        <f t="shared" si="667"/>
        <v>50.7</v>
      </c>
      <c r="G567" s="146">
        <f t="shared" si="667"/>
        <v>50.7</v>
      </c>
      <c r="H567" s="146">
        <f t="shared" si="667"/>
        <v>50.7</v>
      </c>
      <c r="I567" s="146">
        <f t="shared" si="667"/>
        <v>53.2</v>
      </c>
      <c r="J567" s="146">
        <f t="shared" si="667"/>
        <v>74.8</v>
      </c>
      <c r="K567" s="146">
        <f t="shared" si="667"/>
        <v>95.6</v>
      </c>
      <c r="L567" s="146">
        <f t="shared" si="667"/>
        <v>123.3</v>
      </c>
      <c r="M567" s="146">
        <f t="shared" si="667"/>
        <v>167.1</v>
      </c>
    </row>
    <row r="568" spans="2:13" x14ac:dyDescent="0.25">
      <c r="B568" t="s">
        <v>478</v>
      </c>
      <c r="C568" s="146">
        <f t="shared" ref="C568:M568" ca="1" si="668">IFERROR(IF(C517&lt;=70,ROUND(C517,1),"-"),"-")</f>
        <v>41.8</v>
      </c>
      <c r="D568" s="146">
        <f t="shared" ca="1" si="668"/>
        <v>41.3</v>
      </c>
      <c r="E568" s="146">
        <f t="shared" ca="1" si="668"/>
        <v>40.700000000000003</v>
      </c>
      <c r="F568" s="146">
        <f t="shared" ca="1" si="668"/>
        <v>40</v>
      </c>
      <c r="G568" s="146">
        <f t="shared" ca="1" si="668"/>
        <v>39.1</v>
      </c>
      <c r="H568" s="146">
        <f t="shared" ca="1" si="668"/>
        <v>38.5</v>
      </c>
      <c r="I568" s="146">
        <f t="shared" ca="1" si="668"/>
        <v>39.299999999999997</v>
      </c>
      <c r="J568" s="146">
        <f t="shared" ca="1" si="668"/>
        <v>60.2</v>
      </c>
      <c r="K568" s="146" t="str">
        <f t="shared" ca="1" si="668"/>
        <v>-</v>
      </c>
      <c r="L568" s="146" t="str">
        <f t="shared" ca="1" si="668"/>
        <v>-</v>
      </c>
      <c r="M568" s="146" t="str">
        <f t="shared" ca="1" si="668"/>
        <v>-</v>
      </c>
    </row>
    <row r="569" spans="2:13" x14ac:dyDescent="0.25">
      <c r="B569" t="s">
        <v>477</v>
      </c>
      <c r="C569" s="146">
        <f t="shared" ref="C569:M569" ca="1" si="669">IFERROR(IF(C518&lt;=55,ROUND(C518,1),"-"),"-")</f>
        <v>26.8</v>
      </c>
      <c r="D569" s="146">
        <f t="shared" ca="1" si="669"/>
        <v>26.3</v>
      </c>
      <c r="E569" s="146">
        <f t="shared" ca="1" si="669"/>
        <v>25.7</v>
      </c>
      <c r="F569" s="146">
        <f t="shared" ca="1" si="669"/>
        <v>25</v>
      </c>
      <c r="G569" s="146">
        <f t="shared" ca="1" si="669"/>
        <v>24.1</v>
      </c>
      <c r="H569" s="146">
        <f t="shared" ca="1" si="669"/>
        <v>23.5</v>
      </c>
      <c r="I569" s="146">
        <f t="shared" ca="1" si="669"/>
        <v>24.3</v>
      </c>
      <c r="J569" s="146">
        <f t="shared" ca="1" si="669"/>
        <v>45.2</v>
      </c>
      <c r="K569" s="146" t="str">
        <f t="shared" ca="1" si="669"/>
        <v>-</v>
      </c>
      <c r="L569" s="146" t="str">
        <f t="shared" ca="1" si="669"/>
        <v>-</v>
      </c>
      <c r="M569" s="146" t="str">
        <f t="shared" ca="1" si="669"/>
        <v>-</v>
      </c>
    </row>
    <row r="570" spans="2:13" ht="45" x14ac:dyDescent="0.25">
      <c r="B570" s="211" t="s">
        <v>884</v>
      </c>
      <c r="C570" s="5" t="str">
        <f t="shared" ref="C570:M570" si="670">IF(ISNUMBER(C519),"DN"&amp;C519,C519)</f>
        <v>DN200</v>
      </c>
      <c r="D570" s="5" t="str">
        <f t="shared" si="670"/>
        <v>DN200</v>
      </c>
      <c r="E570" s="5" t="str">
        <f t="shared" si="670"/>
        <v>DN200</v>
      </c>
      <c r="F570" s="5" t="str">
        <f t="shared" si="670"/>
        <v>DN200</v>
      </c>
      <c r="G570" s="5" t="str">
        <f t="shared" si="670"/>
        <v>DN200</v>
      </c>
      <c r="H570" s="5" t="str">
        <f t="shared" si="670"/>
        <v>DN200</v>
      </c>
      <c r="I570" s="5" t="str">
        <f t="shared" si="670"/>
        <v>DN200</v>
      </c>
      <c r="J570" s="5" t="str">
        <f t="shared" si="670"/>
        <v>DN200</v>
      </c>
      <c r="K570" s="5" t="str">
        <f t="shared" si="670"/>
        <v>DN200</v>
      </c>
      <c r="L570" s="5" t="str">
        <f t="shared" si="670"/>
        <v>DN200</v>
      </c>
      <c r="M570" s="5" t="str">
        <f t="shared" si="670"/>
        <v>DN200</v>
      </c>
    </row>
    <row r="571" spans="2:13" x14ac:dyDescent="0.25">
      <c r="B571" t="s">
        <v>170</v>
      </c>
      <c r="C571" s="146">
        <f t="shared" ref="C571:M571" si="671">IFERROR(IF(C520&lt;5,"&lt;5",ROUND(C520,1)),"-")</f>
        <v>46.2</v>
      </c>
      <c r="D571" s="146">
        <f t="shared" si="671"/>
        <v>46.2</v>
      </c>
      <c r="E571" s="146">
        <f t="shared" si="671"/>
        <v>46.2</v>
      </c>
      <c r="F571" s="146">
        <f t="shared" si="671"/>
        <v>46.2</v>
      </c>
      <c r="G571" s="146">
        <f t="shared" si="671"/>
        <v>46.2</v>
      </c>
      <c r="H571" s="146">
        <f t="shared" si="671"/>
        <v>46.2</v>
      </c>
      <c r="I571" s="146">
        <f t="shared" si="671"/>
        <v>48.7</v>
      </c>
      <c r="J571" s="146">
        <f t="shared" si="671"/>
        <v>70.3</v>
      </c>
      <c r="K571" s="146">
        <f t="shared" si="671"/>
        <v>91.2</v>
      </c>
      <c r="L571" s="146">
        <f t="shared" si="671"/>
        <v>118.8</v>
      </c>
      <c r="M571" s="146">
        <f t="shared" si="671"/>
        <v>162.6</v>
      </c>
    </row>
    <row r="572" spans="2:13" x14ac:dyDescent="0.25">
      <c r="B572" t="s">
        <v>605</v>
      </c>
      <c r="C572" s="146">
        <f t="shared" ref="C572:M572" si="672">IFERROR(IF(C521&lt;5,"&lt;5",ROUND(C521,1)),"-")</f>
        <v>52.8</v>
      </c>
      <c r="D572" s="146">
        <f t="shared" si="672"/>
        <v>52.8</v>
      </c>
      <c r="E572" s="146">
        <f t="shared" si="672"/>
        <v>52.8</v>
      </c>
      <c r="F572" s="146">
        <f t="shared" si="672"/>
        <v>52.8</v>
      </c>
      <c r="G572" s="146">
        <f t="shared" si="672"/>
        <v>52.8</v>
      </c>
      <c r="H572" s="146">
        <f t="shared" si="672"/>
        <v>52.8</v>
      </c>
      <c r="I572" s="146">
        <f t="shared" si="672"/>
        <v>55.2</v>
      </c>
      <c r="J572" s="146">
        <f t="shared" si="672"/>
        <v>76.900000000000006</v>
      </c>
      <c r="K572" s="146">
        <f t="shared" si="672"/>
        <v>97.7</v>
      </c>
      <c r="L572" s="146">
        <f t="shared" si="672"/>
        <v>125.4</v>
      </c>
      <c r="M572" s="146">
        <f t="shared" si="672"/>
        <v>169.2</v>
      </c>
    </row>
    <row r="573" spans="2:13" x14ac:dyDescent="0.25">
      <c r="B573" t="s">
        <v>478</v>
      </c>
      <c r="C573" s="146">
        <f t="shared" ref="C573:M573" ca="1" si="673">IFERROR(IF(C522&lt;=70,ROUND(C522,1),"-"),"-")</f>
        <v>43.3</v>
      </c>
      <c r="D573" s="146">
        <f t="shared" ca="1" si="673"/>
        <v>42.7</v>
      </c>
      <c r="E573" s="146">
        <f t="shared" ca="1" si="673"/>
        <v>42.1</v>
      </c>
      <c r="F573" s="146">
        <f t="shared" ca="1" si="673"/>
        <v>41.4</v>
      </c>
      <c r="G573" s="146">
        <f t="shared" ca="1" si="673"/>
        <v>40.6</v>
      </c>
      <c r="H573" s="146">
        <f t="shared" ca="1" si="673"/>
        <v>40</v>
      </c>
      <c r="I573" s="146">
        <f t="shared" ca="1" si="673"/>
        <v>40.700000000000003</v>
      </c>
      <c r="J573" s="146">
        <f t="shared" ca="1" si="673"/>
        <v>61.6</v>
      </c>
      <c r="K573" s="146" t="str">
        <f t="shared" ca="1" si="673"/>
        <v>-</v>
      </c>
      <c r="L573" s="146" t="str">
        <f t="shared" ca="1" si="673"/>
        <v>-</v>
      </c>
      <c r="M573" s="146" t="str">
        <f t="shared" ca="1" si="673"/>
        <v>-</v>
      </c>
    </row>
    <row r="574" spans="2:13" x14ac:dyDescent="0.25">
      <c r="B574" t="s">
        <v>477</v>
      </c>
      <c r="C574" s="146">
        <f t="shared" ref="C574:M574" ca="1" si="674">IFERROR(IF(C523&lt;=55,ROUND(C523,1),"-"),"-")</f>
        <v>28.3</v>
      </c>
      <c r="D574" s="146">
        <f t="shared" ca="1" si="674"/>
        <v>27.7</v>
      </c>
      <c r="E574" s="146">
        <f t="shared" ca="1" si="674"/>
        <v>27.1</v>
      </c>
      <c r="F574" s="146">
        <f t="shared" ca="1" si="674"/>
        <v>26.4</v>
      </c>
      <c r="G574" s="146">
        <f t="shared" ca="1" si="674"/>
        <v>25.6</v>
      </c>
      <c r="H574" s="146">
        <f t="shared" ca="1" si="674"/>
        <v>25</v>
      </c>
      <c r="I574" s="146">
        <f t="shared" ca="1" si="674"/>
        <v>25.7</v>
      </c>
      <c r="J574" s="146">
        <f t="shared" ca="1" si="674"/>
        <v>46.6</v>
      </c>
      <c r="K574" s="146" t="str">
        <f t="shared" ca="1" si="674"/>
        <v>-</v>
      </c>
      <c r="L574" s="146" t="str">
        <f t="shared" ca="1" si="674"/>
        <v>-</v>
      </c>
      <c r="M574" s="146" t="str">
        <f t="shared" ca="1" si="674"/>
        <v>-</v>
      </c>
    </row>
    <row r="575" spans="2:13" ht="45" x14ac:dyDescent="0.25">
      <c r="B575" s="211" t="s">
        <v>885</v>
      </c>
      <c r="C575" s="5" t="str">
        <f t="shared" ref="C575:M575" si="675">IF(ISNUMBER(C524),"DN"&amp;C524,C524)</f>
        <v>DN250</v>
      </c>
      <c r="D575" s="5" t="str">
        <f t="shared" si="675"/>
        <v>DN250</v>
      </c>
      <c r="E575" s="5" t="str">
        <f t="shared" si="675"/>
        <v>DN250</v>
      </c>
      <c r="F575" s="5" t="str">
        <f t="shared" si="675"/>
        <v>DN250</v>
      </c>
      <c r="G575" s="5" t="str">
        <f t="shared" si="675"/>
        <v>DN250</v>
      </c>
      <c r="H575" s="5" t="str">
        <f t="shared" si="675"/>
        <v>DN250</v>
      </c>
      <c r="I575" s="5" t="str">
        <f t="shared" si="675"/>
        <v>DN250</v>
      </c>
      <c r="J575" s="5" t="str">
        <f t="shared" si="675"/>
        <v>DN250</v>
      </c>
      <c r="K575" s="5" t="str">
        <f t="shared" si="675"/>
        <v>DN250</v>
      </c>
      <c r="L575" s="5" t="str">
        <f t="shared" si="675"/>
        <v>DN250</v>
      </c>
      <c r="M575" s="5" t="str">
        <f t="shared" si="675"/>
        <v>DN250</v>
      </c>
    </row>
    <row r="576" spans="2:13" x14ac:dyDescent="0.25">
      <c r="B576" t="s">
        <v>170</v>
      </c>
      <c r="C576" s="146">
        <f t="shared" ref="C576:M576" si="676">IFERROR(IF(C525&lt;5,"&lt;5",ROUND(C525,1)),"-")</f>
        <v>57.5</v>
      </c>
      <c r="D576" s="146">
        <f t="shared" si="676"/>
        <v>47.5</v>
      </c>
      <c r="E576" s="146">
        <f t="shared" si="676"/>
        <v>47.5</v>
      </c>
      <c r="F576" s="146">
        <f t="shared" si="676"/>
        <v>47.5</v>
      </c>
      <c r="G576" s="146">
        <f t="shared" si="676"/>
        <v>47.5</v>
      </c>
      <c r="H576" s="146">
        <f t="shared" si="676"/>
        <v>47.5</v>
      </c>
      <c r="I576" s="146">
        <f t="shared" si="676"/>
        <v>50</v>
      </c>
      <c r="J576" s="146">
        <f t="shared" si="676"/>
        <v>71.599999999999994</v>
      </c>
      <c r="K576" s="146">
        <f t="shared" si="676"/>
        <v>92.4</v>
      </c>
      <c r="L576" s="146">
        <f t="shared" si="676"/>
        <v>120.1</v>
      </c>
      <c r="M576" s="146">
        <f t="shared" si="676"/>
        <v>163.9</v>
      </c>
    </row>
    <row r="577" spans="2:13" x14ac:dyDescent="0.25">
      <c r="B577" t="s">
        <v>605</v>
      </c>
      <c r="C577" s="146">
        <f t="shared" ref="C577:M577" si="677">IFERROR(IF(C526&lt;5,"&lt;5",ROUND(C526,1)),"-")</f>
        <v>63.3</v>
      </c>
      <c r="D577" s="146">
        <f t="shared" si="677"/>
        <v>53.3</v>
      </c>
      <c r="E577" s="146">
        <f t="shared" si="677"/>
        <v>53.3</v>
      </c>
      <c r="F577" s="146">
        <f t="shared" si="677"/>
        <v>53.3</v>
      </c>
      <c r="G577" s="146">
        <f t="shared" si="677"/>
        <v>53.3</v>
      </c>
      <c r="H577" s="146">
        <f t="shared" si="677"/>
        <v>53.3</v>
      </c>
      <c r="I577" s="146">
        <f t="shared" si="677"/>
        <v>55.7</v>
      </c>
      <c r="J577" s="146">
        <f t="shared" si="677"/>
        <v>77.400000000000006</v>
      </c>
      <c r="K577" s="146">
        <f t="shared" si="677"/>
        <v>98.2</v>
      </c>
      <c r="L577" s="146">
        <f t="shared" si="677"/>
        <v>125.9</v>
      </c>
      <c r="M577" s="146">
        <f t="shared" si="677"/>
        <v>169.6</v>
      </c>
    </row>
    <row r="578" spans="2:13" x14ac:dyDescent="0.25">
      <c r="B578" t="s">
        <v>478</v>
      </c>
      <c r="C578" s="146">
        <f t="shared" ref="C578:M578" ca="1" si="678">IFERROR(IF(C527&lt;=70,ROUND(C527,1),"-"),"-")</f>
        <v>47.1</v>
      </c>
      <c r="D578" s="146">
        <f t="shared" ca="1" si="678"/>
        <v>46.5</v>
      </c>
      <c r="E578" s="146">
        <f t="shared" ca="1" si="678"/>
        <v>45.9</v>
      </c>
      <c r="F578" s="146">
        <f t="shared" ca="1" si="678"/>
        <v>45.2</v>
      </c>
      <c r="G578" s="146">
        <f t="shared" ca="1" si="678"/>
        <v>44.4</v>
      </c>
      <c r="H578" s="146">
        <f t="shared" ca="1" si="678"/>
        <v>43.8</v>
      </c>
      <c r="I578" s="146">
        <f t="shared" ca="1" si="678"/>
        <v>44.6</v>
      </c>
      <c r="J578" s="146">
        <f t="shared" ca="1" si="678"/>
        <v>65.400000000000006</v>
      </c>
      <c r="K578" s="146" t="str">
        <f t="shared" ca="1" si="678"/>
        <v>-</v>
      </c>
      <c r="L578" s="146" t="str">
        <f t="shared" ca="1" si="678"/>
        <v>-</v>
      </c>
      <c r="M578" s="146" t="str">
        <f t="shared" ca="1" si="678"/>
        <v>-</v>
      </c>
    </row>
    <row r="579" spans="2:13" x14ac:dyDescent="0.25">
      <c r="B579" t="s">
        <v>477</v>
      </c>
      <c r="C579" s="146">
        <f t="shared" ref="C579:M579" ca="1" si="679">IFERROR(IF(C528&lt;=55,ROUND(C528,1),"-"),"-")</f>
        <v>32.1</v>
      </c>
      <c r="D579" s="146">
        <f t="shared" ca="1" si="679"/>
        <v>31.5</v>
      </c>
      <c r="E579" s="146">
        <f t="shared" ca="1" si="679"/>
        <v>30.9</v>
      </c>
      <c r="F579" s="146">
        <f t="shared" ca="1" si="679"/>
        <v>30.2</v>
      </c>
      <c r="G579" s="146">
        <f t="shared" ca="1" si="679"/>
        <v>29.4</v>
      </c>
      <c r="H579" s="146">
        <f t="shared" ca="1" si="679"/>
        <v>28.8</v>
      </c>
      <c r="I579" s="146">
        <f t="shared" ca="1" si="679"/>
        <v>29.6</v>
      </c>
      <c r="J579" s="146">
        <f t="shared" ca="1" si="679"/>
        <v>50.4</v>
      </c>
      <c r="K579" s="146" t="str">
        <f t="shared" ca="1" si="679"/>
        <v>-</v>
      </c>
      <c r="L579" s="146" t="str">
        <f t="shared" ca="1" si="679"/>
        <v>-</v>
      </c>
      <c r="M579" s="146" t="str">
        <f t="shared" ca="1" si="679"/>
        <v>-</v>
      </c>
    </row>
    <row r="580" spans="2:13" ht="45" x14ac:dyDescent="0.25">
      <c r="B580" s="211" t="str">
        <f>$AD$426&amp; " mm High"&amp;CHAR(10)&amp;"Round Spigot Connection Box"</f>
        <v>300 mm High
Round Spigot Connection Box</v>
      </c>
      <c r="C580" s="5" t="str">
        <f t="shared" ref="C580:M580" si="680">IF(ISNUMBER(C529),"DN"&amp;C529,C529)</f>
        <v>DN200</v>
      </c>
      <c r="D580" s="5" t="str">
        <f t="shared" si="680"/>
        <v>DN200</v>
      </c>
      <c r="E580" s="5" t="str">
        <f t="shared" si="680"/>
        <v>DN200</v>
      </c>
      <c r="F580" s="5" t="str">
        <f t="shared" si="680"/>
        <v>DN200</v>
      </c>
      <c r="G580" s="5" t="str">
        <f t="shared" si="680"/>
        <v>DN200</v>
      </c>
      <c r="H580" s="5" t="str">
        <f t="shared" si="680"/>
        <v>DN200</v>
      </c>
      <c r="I580" s="5" t="str">
        <f t="shared" si="680"/>
        <v>DN200</v>
      </c>
      <c r="J580" s="5" t="str">
        <f t="shared" si="680"/>
        <v>DN200</v>
      </c>
      <c r="K580" s="5" t="str">
        <f t="shared" si="680"/>
        <v>DN200</v>
      </c>
      <c r="L580" s="5" t="str">
        <f t="shared" si="680"/>
        <v>DN200</v>
      </c>
      <c r="M580" s="5" t="str">
        <f t="shared" si="680"/>
        <v>DN200</v>
      </c>
    </row>
    <row r="581" spans="2:13" x14ac:dyDescent="0.25">
      <c r="B581" t="s">
        <v>170</v>
      </c>
      <c r="C581" s="146">
        <f t="shared" ref="C581:M581" si="681">IFERROR(IF(C530&lt;5,"&lt;5",ROUND(C530,1)),"-")</f>
        <v>45.1</v>
      </c>
      <c r="D581" s="146">
        <f t="shared" si="681"/>
        <v>45.1</v>
      </c>
      <c r="E581" s="146">
        <f t="shared" si="681"/>
        <v>45.1</v>
      </c>
      <c r="F581" s="146">
        <f t="shared" si="681"/>
        <v>45.1</v>
      </c>
      <c r="G581" s="146">
        <f t="shared" si="681"/>
        <v>45.1</v>
      </c>
      <c r="H581" s="146">
        <f t="shared" si="681"/>
        <v>45.1</v>
      </c>
      <c r="I581" s="146">
        <f t="shared" si="681"/>
        <v>47.6</v>
      </c>
      <c r="J581" s="146">
        <f t="shared" si="681"/>
        <v>69.2</v>
      </c>
      <c r="K581" s="146">
        <f t="shared" si="681"/>
        <v>90</v>
      </c>
      <c r="L581" s="146">
        <f t="shared" si="681"/>
        <v>117.7</v>
      </c>
      <c r="M581" s="146">
        <f t="shared" si="681"/>
        <v>161.5</v>
      </c>
    </row>
    <row r="582" spans="2:13" x14ac:dyDescent="0.25">
      <c r="B582" t="s">
        <v>602</v>
      </c>
      <c r="C582" s="146">
        <f t="shared" ref="C582:M582" si="682">IFERROR(IF(C531&lt;5,"&lt;5",ROUND(C531,1)),"-")</f>
        <v>51.3</v>
      </c>
      <c r="D582" s="146">
        <f t="shared" si="682"/>
        <v>51.3</v>
      </c>
      <c r="E582" s="146">
        <f t="shared" si="682"/>
        <v>51.3</v>
      </c>
      <c r="F582" s="146">
        <f t="shared" si="682"/>
        <v>51.3</v>
      </c>
      <c r="G582" s="146">
        <f t="shared" si="682"/>
        <v>51.3</v>
      </c>
      <c r="H582" s="146">
        <f t="shared" si="682"/>
        <v>51.3</v>
      </c>
      <c r="I582" s="146">
        <f t="shared" si="682"/>
        <v>53.8</v>
      </c>
      <c r="J582" s="146">
        <f t="shared" si="682"/>
        <v>75.400000000000006</v>
      </c>
      <c r="K582" s="146">
        <f t="shared" si="682"/>
        <v>96.2</v>
      </c>
      <c r="L582" s="146">
        <f t="shared" si="682"/>
        <v>123.9</v>
      </c>
      <c r="M582" s="146">
        <f t="shared" si="682"/>
        <v>167.7</v>
      </c>
    </row>
    <row r="583" spans="2:13" x14ac:dyDescent="0.25">
      <c r="B583" t="s">
        <v>478</v>
      </c>
      <c r="C583" s="146">
        <f t="shared" ref="C583:M583" ca="1" si="683">IFERROR(IF(C532&lt;=70,ROUND(C532,1),"-"),"-")</f>
        <v>44</v>
      </c>
      <c r="D583" s="146">
        <f t="shared" ca="1" si="683"/>
        <v>43.4</v>
      </c>
      <c r="E583" s="146">
        <f t="shared" ca="1" si="683"/>
        <v>42.8</v>
      </c>
      <c r="F583" s="146">
        <f t="shared" ca="1" si="683"/>
        <v>42.2</v>
      </c>
      <c r="G583" s="146">
        <f t="shared" ca="1" si="683"/>
        <v>41.3</v>
      </c>
      <c r="H583" s="146">
        <f t="shared" ca="1" si="683"/>
        <v>40.700000000000003</v>
      </c>
      <c r="I583" s="146">
        <f t="shared" ca="1" si="683"/>
        <v>41.5</v>
      </c>
      <c r="J583" s="146">
        <f t="shared" ca="1" si="683"/>
        <v>62.4</v>
      </c>
      <c r="K583" s="146" t="str">
        <f t="shared" ca="1" si="683"/>
        <v>-</v>
      </c>
      <c r="L583" s="146" t="str">
        <f t="shared" ca="1" si="683"/>
        <v>-</v>
      </c>
      <c r="M583" s="146" t="str">
        <f t="shared" ca="1" si="683"/>
        <v>-</v>
      </c>
    </row>
    <row r="584" spans="2:13" x14ac:dyDescent="0.25">
      <c r="B584" t="s">
        <v>477</v>
      </c>
      <c r="C584" s="146">
        <f t="shared" ref="C584:M584" ca="1" si="684">IFERROR(IF(C533&lt;=55,ROUND(C533,1),"-"),"-")</f>
        <v>29</v>
      </c>
      <c r="D584" s="146">
        <f t="shared" ca="1" si="684"/>
        <v>28.4</v>
      </c>
      <c r="E584" s="146">
        <f t="shared" ca="1" si="684"/>
        <v>27.8</v>
      </c>
      <c r="F584" s="146">
        <f t="shared" ca="1" si="684"/>
        <v>27.2</v>
      </c>
      <c r="G584" s="146">
        <f t="shared" ca="1" si="684"/>
        <v>26.3</v>
      </c>
      <c r="H584" s="146">
        <f t="shared" ca="1" si="684"/>
        <v>25.7</v>
      </c>
      <c r="I584" s="146">
        <f t="shared" ca="1" si="684"/>
        <v>26.5</v>
      </c>
      <c r="J584" s="146">
        <f t="shared" ca="1" si="684"/>
        <v>47.4</v>
      </c>
      <c r="K584" s="146" t="str">
        <f t="shared" ca="1" si="684"/>
        <v>-</v>
      </c>
      <c r="L584" s="146" t="str">
        <f t="shared" ca="1" si="684"/>
        <v>-</v>
      </c>
      <c r="M584" s="146" t="str">
        <f t="shared" ca="1" si="684"/>
        <v>-</v>
      </c>
    </row>
    <row r="585" spans="2:13" x14ac:dyDescent="0.25">
      <c r="B585" s="211" t="str">
        <f>IF($B$480,$AJ$426&amp; " mm High"&amp;CHAR(10)&amp;"Round Spigot Connection Box","")</f>
        <v/>
      </c>
      <c r="C585" s="5" t="str">
        <f t="shared" ref="C585:M585" si="685">IF($B$480,IF(ISNUMBER(C534),"DN"&amp;C534,C534),"")</f>
        <v/>
      </c>
      <c r="D585" s="5" t="str">
        <f t="shared" si="685"/>
        <v/>
      </c>
      <c r="E585" s="5" t="str">
        <f t="shared" si="685"/>
        <v/>
      </c>
      <c r="F585" s="5" t="str">
        <f t="shared" si="685"/>
        <v/>
      </c>
      <c r="G585" s="5" t="str">
        <f t="shared" si="685"/>
        <v/>
      </c>
      <c r="H585" s="5" t="str">
        <f t="shared" si="685"/>
        <v/>
      </c>
      <c r="I585" s="5" t="str">
        <f t="shared" si="685"/>
        <v/>
      </c>
      <c r="J585" s="5" t="str">
        <f t="shared" si="685"/>
        <v/>
      </c>
      <c r="K585" s="5" t="str">
        <f t="shared" si="685"/>
        <v/>
      </c>
      <c r="L585" s="5" t="str">
        <f t="shared" si="685"/>
        <v/>
      </c>
      <c r="M585" s="5" t="str">
        <f t="shared" si="685"/>
        <v/>
      </c>
    </row>
    <row r="586" spans="2:13" x14ac:dyDescent="0.25">
      <c r="B586" t="s">
        <v>170</v>
      </c>
      <c r="C586" s="146" t="str">
        <f t="shared" ref="C586:M586" si="686">IF($B$480,IFERROR(IF(C535&lt;5,"&lt;5",ROUND(C535,1)),"-"),"")</f>
        <v/>
      </c>
      <c r="D586" s="146" t="str">
        <f t="shared" si="686"/>
        <v/>
      </c>
      <c r="E586" s="146" t="str">
        <f t="shared" si="686"/>
        <v/>
      </c>
      <c r="F586" s="146" t="str">
        <f t="shared" si="686"/>
        <v/>
      </c>
      <c r="G586" s="146" t="str">
        <f t="shared" si="686"/>
        <v/>
      </c>
      <c r="H586" s="146" t="str">
        <f t="shared" si="686"/>
        <v/>
      </c>
      <c r="I586" s="146" t="str">
        <f t="shared" si="686"/>
        <v/>
      </c>
      <c r="J586" s="146" t="str">
        <f t="shared" si="686"/>
        <v/>
      </c>
      <c r="K586" s="146" t="str">
        <f t="shared" si="686"/>
        <v/>
      </c>
      <c r="L586" s="146" t="str">
        <f t="shared" si="686"/>
        <v/>
      </c>
      <c r="M586" s="146" t="str">
        <f t="shared" si="686"/>
        <v/>
      </c>
    </row>
    <row r="587" spans="2:13" x14ac:dyDescent="0.25">
      <c r="B587" t="s">
        <v>602</v>
      </c>
      <c r="C587" s="146" t="str">
        <f t="shared" ref="C587:M587" si="687">IF($B$480,IFERROR(IF(C536&lt;5,"&lt;5",ROUND(C536,1)),"-"),"")</f>
        <v/>
      </c>
      <c r="D587" s="146" t="str">
        <f t="shared" si="687"/>
        <v/>
      </c>
      <c r="E587" s="146" t="str">
        <f t="shared" si="687"/>
        <v/>
      </c>
      <c r="F587" s="146" t="str">
        <f t="shared" si="687"/>
        <v/>
      </c>
      <c r="G587" s="146" t="str">
        <f t="shared" si="687"/>
        <v/>
      </c>
      <c r="H587" s="146" t="str">
        <f t="shared" si="687"/>
        <v/>
      </c>
      <c r="I587" s="146" t="str">
        <f t="shared" si="687"/>
        <v/>
      </c>
      <c r="J587" s="146" t="str">
        <f t="shared" si="687"/>
        <v/>
      </c>
      <c r="K587" s="146" t="str">
        <f t="shared" si="687"/>
        <v/>
      </c>
      <c r="L587" s="146" t="str">
        <f t="shared" si="687"/>
        <v/>
      </c>
      <c r="M587" s="146" t="str">
        <f t="shared" si="687"/>
        <v/>
      </c>
    </row>
    <row r="588" spans="2:13" x14ac:dyDescent="0.25">
      <c r="B588" t="s">
        <v>478</v>
      </c>
      <c r="C588" s="146" t="str">
        <f t="shared" ref="C588:M588" si="688">IF($B$480,IFERROR(IF(C537&lt;=70,ROUND(C537,1),"-"),"-"),"")</f>
        <v/>
      </c>
      <c r="D588" s="146" t="str">
        <f t="shared" si="688"/>
        <v/>
      </c>
      <c r="E588" s="146" t="str">
        <f t="shared" si="688"/>
        <v/>
      </c>
      <c r="F588" s="146" t="str">
        <f t="shared" si="688"/>
        <v/>
      </c>
      <c r="G588" s="146" t="str">
        <f t="shared" si="688"/>
        <v/>
      </c>
      <c r="H588" s="146" t="str">
        <f t="shared" si="688"/>
        <v/>
      </c>
      <c r="I588" s="146" t="str">
        <f t="shared" si="688"/>
        <v/>
      </c>
      <c r="J588" s="146" t="str">
        <f t="shared" si="688"/>
        <v/>
      </c>
      <c r="K588" s="146" t="str">
        <f t="shared" si="688"/>
        <v/>
      </c>
      <c r="L588" s="146" t="str">
        <f t="shared" si="688"/>
        <v/>
      </c>
      <c r="M588" s="146" t="str">
        <f t="shared" si="688"/>
        <v/>
      </c>
    </row>
    <row r="589" spans="2:13" x14ac:dyDescent="0.25">
      <c r="B589" t="s">
        <v>477</v>
      </c>
      <c r="C589" s="146" t="str">
        <f t="shared" ref="C589:M589" si="689">IF($B$480,IFERROR(IF(C538&lt;=55,ROUND(C538,1),"-"),"-"),"")</f>
        <v/>
      </c>
      <c r="D589" s="146" t="str">
        <f t="shared" si="689"/>
        <v/>
      </c>
      <c r="E589" s="146" t="str">
        <f t="shared" si="689"/>
        <v/>
      </c>
      <c r="F589" s="146" t="str">
        <f t="shared" si="689"/>
        <v/>
      </c>
      <c r="G589" s="146" t="str">
        <f t="shared" si="689"/>
        <v/>
      </c>
      <c r="H589" s="146" t="str">
        <f t="shared" si="689"/>
        <v/>
      </c>
      <c r="I589" s="146" t="str">
        <f t="shared" si="689"/>
        <v/>
      </c>
      <c r="J589" s="146" t="str">
        <f t="shared" si="689"/>
        <v/>
      </c>
      <c r="K589" s="146" t="str">
        <f t="shared" si="689"/>
        <v/>
      </c>
      <c r="L589" s="146" t="str">
        <f t="shared" si="689"/>
        <v/>
      </c>
      <c r="M589" s="146" t="str">
        <f t="shared" si="689"/>
        <v/>
      </c>
    </row>
    <row r="590" spans="2:13" x14ac:dyDescent="0.25">
      <c r="B590" s="5" t="str">
        <f>""</f>
        <v/>
      </c>
      <c r="C590" s="5" t="str">
        <f>""</f>
        <v/>
      </c>
      <c r="D590" s="5" t="str">
        <f>""</f>
        <v/>
      </c>
      <c r="E590" s="5" t="str">
        <f>""</f>
        <v/>
      </c>
      <c r="F590" s="5" t="str">
        <f>""</f>
        <v/>
      </c>
      <c r="G590" s="5" t="str">
        <f>""</f>
        <v/>
      </c>
      <c r="H590" s="5" t="str">
        <f>""</f>
        <v/>
      </c>
      <c r="I590" s="5" t="str">
        <f>""</f>
        <v/>
      </c>
      <c r="J590" s="5" t="str">
        <f>""</f>
        <v/>
      </c>
      <c r="K590" s="5" t="str">
        <f>""</f>
        <v/>
      </c>
      <c r="L590" s="5" t="str">
        <f>""</f>
        <v/>
      </c>
      <c r="M590" s="5" t="str">
        <f>""</f>
        <v/>
      </c>
    </row>
    <row r="591" spans="2:13" x14ac:dyDescent="0.25">
      <c r="B591" s="5" t="str">
        <f>""</f>
        <v/>
      </c>
      <c r="C591" s="5" t="str">
        <f>""</f>
        <v/>
      </c>
      <c r="D591" s="5" t="str">
        <f>""</f>
        <v/>
      </c>
      <c r="E591" s="5" t="str">
        <f>""</f>
        <v/>
      </c>
      <c r="F591" s="5" t="str">
        <f>""</f>
        <v/>
      </c>
      <c r="G591" s="5" t="str">
        <f>""</f>
        <v/>
      </c>
      <c r="H591" s="5" t="str">
        <f>""</f>
        <v/>
      </c>
      <c r="I591" s="5" t="str">
        <f>""</f>
        <v/>
      </c>
      <c r="J591" s="5" t="str">
        <f>""</f>
        <v/>
      </c>
      <c r="K591" s="5" t="str">
        <f>""</f>
        <v/>
      </c>
      <c r="L591" s="5" t="str">
        <f>""</f>
        <v/>
      </c>
      <c r="M591" s="5" t="str">
        <f>""</f>
        <v/>
      </c>
    </row>
    <row r="592" spans="2:13" x14ac:dyDescent="0.25">
      <c r="B592" s="5" t="str">
        <f>""</f>
        <v/>
      </c>
      <c r="C592" s="5" t="str">
        <f>""</f>
        <v/>
      </c>
      <c r="D592" s="5" t="str">
        <f>""</f>
        <v/>
      </c>
      <c r="E592" s="5" t="str">
        <f>""</f>
        <v/>
      </c>
      <c r="F592" s="5" t="str">
        <f>""</f>
        <v/>
      </c>
      <c r="G592" s="5" t="str">
        <f>""</f>
        <v/>
      </c>
      <c r="H592" s="5" t="str">
        <f>""</f>
        <v/>
      </c>
      <c r="I592" s="5" t="str">
        <f>""</f>
        <v/>
      </c>
      <c r="J592" s="5" t="str">
        <f>""</f>
        <v/>
      </c>
      <c r="K592" s="5" t="str">
        <f>""</f>
        <v/>
      </c>
      <c r="L592" s="5" t="str">
        <f>""</f>
        <v/>
      </c>
      <c r="M592" s="5" t="str">
        <f>""</f>
        <v/>
      </c>
    </row>
    <row r="593" spans="1:16" x14ac:dyDescent="0.25">
      <c r="B593" s="5" t="str">
        <f>""</f>
        <v/>
      </c>
      <c r="C593" s="5" t="str">
        <f>""</f>
        <v/>
      </c>
      <c r="D593" s="5" t="str">
        <f>""</f>
        <v/>
      </c>
      <c r="E593" s="5" t="str">
        <f>""</f>
        <v/>
      </c>
      <c r="F593" s="5" t="str">
        <f>""</f>
        <v/>
      </c>
      <c r="G593" s="5" t="str">
        <f>""</f>
        <v/>
      </c>
      <c r="H593" s="5" t="str">
        <f>""</f>
        <v/>
      </c>
      <c r="I593" s="5" t="str">
        <f>""</f>
        <v/>
      </c>
      <c r="J593" s="5" t="str">
        <f>""</f>
        <v/>
      </c>
      <c r="K593" s="5" t="str">
        <f>""</f>
        <v/>
      </c>
      <c r="L593" s="5" t="str">
        <f>""</f>
        <v/>
      </c>
      <c r="M593" s="5" t="str">
        <f>""</f>
        <v/>
      </c>
    </row>
    <row r="594" spans="1:16" x14ac:dyDescent="0.25">
      <c r="B594" s="5" t="str">
        <f>""</f>
        <v/>
      </c>
      <c r="C594" s="5" t="str">
        <f>""</f>
        <v/>
      </c>
      <c r="D594" s="5" t="str">
        <f>""</f>
        <v/>
      </c>
      <c r="E594" s="5" t="str">
        <f>""</f>
        <v/>
      </c>
      <c r="F594" s="5" t="str">
        <f>""</f>
        <v/>
      </c>
      <c r="G594" s="5" t="str">
        <f>""</f>
        <v/>
      </c>
      <c r="H594" s="5" t="str">
        <f>""</f>
        <v/>
      </c>
      <c r="I594" s="5" t="str">
        <f>""</f>
        <v/>
      </c>
      <c r="J594" s="5" t="str">
        <f>""</f>
        <v/>
      </c>
      <c r="K594" s="5" t="str">
        <f>""</f>
        <v/>
      </c>
      <c r="L594" s="5" t="str">
        <f>""</f>
        <v/>
      </c>
      <c r="M594" s="5" t="str">
        <f>""</f>
        <v/>
      </c>
    </row>
    <row r="595" spans="1:16" x14ac:dyDescent="0.25">
      <c r="C595" s="146"/>
      <c r="D595" s="146"/>
      <c r="E595" s="146"/>
      <c r="F595" s="146"/>
      <c r="G595" s="146"/>
      <c r="H595" s="146"/>
      <c r="I595" s="146"/>
      <c r="J595" s="146"/>
      <c r="K595" s="146"/>
      <c r="L595" s="146"/>
      <c r="M595" s="146"/>
    </row>
    <row r="596" spans="1:16" x14ac:dyDescent="0.25">
      <c r="C596" s="146"/>
      <c r="D596" s="146"/>
      <c r="E596" s="146"/>
      <c r="F596" s="146"/>
      <c r="G596" s="146"/>
      <c r="H596" s="146"/>
      <c r="I596" s="146"/>
      <c r="J596" s="146"/>
      <c r="K596" s="146"/>
      <c r="L596" s="146"/>
      <c r="M596" s="146"/>
    </row>
    <row r="597" spans="1:16" x14ac:dyDescent="0.25">
      <c r="B597" s="211"/>
      <c r="C597" s="146"/>
      <c r="D597" s="146"/>
      <c r="E597" s="146"/>
      <c r="F597" s="146"/>
      <c r="G597" s="146"/>
      <c r="H597" s="146"/>
      <c r="I597" s="146"/>
      <c r="J597" s="146"/>
      <c r="K597" s="146"/>
      <c r="L597" s="146"/>
      <c r="M597" s="146"/>
    </row>
    <row r="599" spans="1:16" ht="20.25" thickBot="1" x14ac:dyDescent="0.35">
      <c r="B599" s="2" t="s">
        <v>232</v>
      </c>
    </row>
    <row r="600" spans="1:16" ht="15.75" thickTop="1" x14ac:dyDescent="0.25">
      <c r="A600">
        <v>0</v>
      </c>
      <c r="B600" t="s">
        <v>517</v>
      </c>
      <c r="C600">
        <v>0</v>
      </c>
      <c r="D600">
        <v>1</v>
      </c>
      <c r="E600">
        <v>2</v>
      </c>
      <c r="F600">
        <v>3</v>
      </c>
      <c r="G600">
        <v>4</v>
      </c>
      <c r="H600">
        <v>5</v>
      </c>
      <c r="I600">
        <v>6</v>
      </c>
      <c r="J600">
        <v>7</v>
      </c>
      <c r="K600">
        <v>8</v>
      </c>
      <c r="L600">
        <v>9</v>
      </c>
      <c r="M600">
        <v>10</v>
      </c>
    </row>
    <row r="601" spans="1:16" x14ac:dyDescent="0.25">
      <c r="A601">
        <v>1</v>
      </c>
      <c r="B601" t="s">
        <v>516</v>
      </c>
      <c r="C601" t="str">
        <f t="shared" ref="C601:M601" si="690">IF(C$640,C544,"")</f>
        <v>D0</v>
      </c>
      <c r="D601" t="str">
        <f t="shared" si="690"/>
        <v>D1</v>
      </c>
      <c r="E601" t="str">
        <f t="shared" si="690"/>
        <v>D2</v>
      </c>
      <c r="F601" t="str">
        <f t="shared" si="690"/>
        <v>D3</v>
      </c>
      <c r="G601" t="str">
        <f t="shared" si="690"/>
        <v>D4</v>
      </c>
      <c r="H601" t="str">
        <f t="shared" si="690"/>
        <v>D5</v>
      </c>
      <c r="I601" t="str">
        <f t="shared" si="690"/>
        <v>D6</v>
      </c>
      <c r="J601" t="str">
        <f t="shared" si="690"/>
        <v>D7</v>
      </c>
      <c r="K601" t="str">
        <f t="shared" si="690"/>
        <v>D8</v>
      </c>
      <c r="L601" t="str">
        <f t="shared" si="690"/>
        <v>D9</v>
      </c>
      <c r="M601" t="str">
        <f t="shared" si="690"/>
        <v>D10</v>
      </c>
    </row>
    <row r="602" spans="1:16" x14ac:dyDescent="0.25">
      <c r="A602">
        <v>2</v>
      </c>
      <c r="B602" t="str">
        <f>"Airflow @ 100% Damper and "&amp;$C$35&amp;" Pa"</f>
        <v>Airflow @ 100% Damper and 40 Pa</v>
      </c>
      <c r="C602">
        <f t="shared" ref="C602:M602" si="691">IF(C$640,C545,"")</f>
        <v>254</v>
      </c>
      <c r="D602">
        <f t="shared" si="691"/>
        <v>213</v>
      </c>
      <c r="E602">
        <f t="shared" si="691"/>
        <v>179</v>
      </c>
      <c r="F602">
        <f t="shared" si="691"/>
        <v>157</v>
      </c>
      <c r="G602">
        <f t="shared" si="691"/>
        <v>131</v>
      </c>
      <c r="H602">
        <f t="shared" si="691"/>
        <v>116</v>
      </c>
      <c r="I602">
        <f t="shared" si="691"/>
        <v>97</v>
      </c>
      <c r="J602">
        <f t="shared" si="691"/>
        <v>79</v>
      </c>
      <c r="K602">
        <f t="shared" si="691"/>
        <v>69</v>
      </c>
      <c r="L602">
        <f t="shared" si="691"/>
        <v>60</v>
      </c>
      <c r="M602">
        <f t="shared" si="691"/>
        <v>51</v>
      </c>
    </row>
    <row r="603" spans="1:16" x14ac:dyDescent="0.25">
      <c r="A603">
        <v>3</v>
      </c>
      <c r="B603" t="s">
        <v>51</v>
      </c>
      <c r="C603">
        <f t="shared" ref="C603:M603" si="692">IF(C$640,C546,"")</f>
        <v>100</v>
      </c>
      <c r="D603">
        <f t="shared" si="692"/>
        <v>100</v>
      </c>
      <c r="E603">
        <f t="shared" si="692"/>
        <v>100</v>
      </c>
      <c r="F603">
        <f t="shared" si="692"/>
        <v>100</v>
      </c>
      <c r="G603">
        <f t="shared" si="692"/>
        <v>100</v>
      </c>
      <c r="H603">
        <f t="shared" si="692"/>
        <v>100</v>
      </c>
      <c r="I603">
        <f t="shared" si="692"/>
        <v>100</v>
      </c>
      <c r="J603">
        <f t="shared" si="692"/>
        <v>100</v>
      </c>
      <c r="K603">
        <f t="shared" si="692"/>
        <v>100</v>
      </c>
      <c r="L603">
        <f t="shared" si="692"/>
        <v>100</v>
      </c>
      <c r="M603">
        <f t="shared" si="692"/>
        <v>100</v>
      </c>
    </row>
    <row r="604" spans="1:16" x14ac:dyDescent="0.25">
      <c r="A604">
        <v>4</v>
      </c>
      <c r="B604" t="s">
        <v>629</v>
      </c>
      <c r="C604" t="str">
        <f t="shared" ref="C604:M604" si="693">IF(C$640,TEXT(C547,"0.0")&amp;$D$36,"")</f>
        <v>40.0</v>
      </c>
      <c r="D604" t="str">
        <f t="shared" si="693"/>
        <v>40.0</v>
      </c>
      <c r="E604" t="str">
        <f t="shared" si="693"/>
        <v>40.0</v>
      </c>
      <c r="F604" t="str">
        <f t="shared" si="693"/>
        <v>40.0</v>
      </c>
      <c r="G604" t="str">
        <f t="shared" si="693"/>
        <v>40.0</v>
      </c>
      <c r="H604" t="str">
        <f t="shared" si="693"/>
        <v>40.0</v>
      </c>
      <c r="I604" t="str">
        <f t="shared" si="693"/>
        <v>40.0</v>
      </c>
      <c r="J604" t="str">
        <f t="shared" si="693"/>
        <v>40.0</v>
      </c>
      <c r="K604" t="str">
        <f t="shared" si="693"/>
        <v>40.0</v>
      </c>
      <c r="L604" t="str">
        <f t="shared" si="693"/>
        <v>40.0</v>
      </c>
      <c r="M604" t="str">
        <f t="shared" si="693"/>
        <v>40.0</v>
      </c>
    </row>
    <row r="605" spans="1:16" x14ac:dyDescent="0.25">
      <c r="A605">
        <v>5</v>
      </c>
      <c r="B605" t="str">
        <f>"Damper Position at "&amp; ROUND(C7,1) &amp; " " &amp; E3 &amp; " and " &amp; C35 &amp; " Pa"</f>
        <v>Damper Position at 100 L/s and 40 Pa</v>
      </c>
      <c r="C605" s="161">
        <f t="shared" ref="C605:M605" ca="1" si="694">IF(C$640,C548,"")</f>
        <v>0.27</v>
      </c>
      <c r="D605" s="161">
        <f t="shared" ca="1" si="694"/>
        <v>0.34</v>
      </c>
      <c r="E605" s="161">
        <f t="shared" ca="1" si="694"/>
        <v>0.44</v>
      </c>
      <c r="F605" s="161">
        <f t="shared" ca="1" si="694"/>
        <v>0.55000000000000004</v>
      </c>
      <c r="G605" s="161">
        <f t="shared" ca="1" si="694"/>
        <v>0.67</v>
      </c>
      <c r="H605" s="161">
        <f t="shared" ca="1" si="694"/>
        <v>0.78</v>
      </c>
      <c r="I605" s="161" t="str">
        <f t="shared" ca="1" si="694"/>
        <v>-</v>
      </c>
      <c r="J605" s="161" t="str">
        <f t="shared" ca="1" si="694"/>
        <v>-</v>
      </c>
      <c r="K605" s="161" t="str">
        <f t="shared" ca="1" si="694"/>
        <v>-</v>
      </c>
      <c r="L605" s="161" t="str">
        <f t="shared" ca="1" si="694"/>
        <v>-</v>
      </c>
      <c r="M605" s="161" t="str">
        <f t="shared" ca="1" si="694"/>
        <v>-</v>
      </c>
    </row>
    <row r="606" spans="1:16" x14ac:dyDescent="0.25">
      <c r="A606">
        <v>6</v>
      </c>
      <c r="B606" t="s">
        <v>171</v>
      </c>
      <c r="C606">
        <f t="shared" ref="C606:M606" si="695">IF(C$640,C549,"")</f>
        <v>6.2</v>
      </c>
      <c r="D606">
        <f t="shared" si="695"/>
        <v>8.8000000000000007</v>
      </c>
      <c r="E606">
        <f t="shared" si="695"/>
        <v>12.4</v>
      </c>
      <c r="F606">
        <f t="shared" si="695"/>
        <v>16.3</v>
      </c>
      <c r="G606">
        <f t="shared" si="695"/>
        <v>23.1</v>
      </c>
      <c r="H606">
        <f t="shared" si="695"/>
        <v>29.5</v>
      </c>
      <c r="I606">
        <f t="shared" si="695"/>
        <v>42.5</v>
      </c>
      <c r="J606">
        <f t="shared" si="695"/>
        <v>64.099999999999994</v>
      </c>
      <c r="K606">
        <f t="shared" si="695"/>
        <v>84.9</v>
      </c>
      <c r="L606">
        <f t="shared" si="695"/>
        <v>112.6</v>
      </c>
      <c r="M606">
        <f t="shared" si="695"/>
        <v>156.4</v>
      </c>
      <c r="P606" s="4"/>
    </row>
    <row r="607" spans="1:16" x14ac:dyDescent="0.25">
      <c r="A607">
        <v>7</v>
      </c>
      <c r="B607" t="s">
        <v>518</v>
      </c>
      <c r="C607">
        <f t="shared" ref="C607:M607" si="696">IF(C$640,C550,"")</f>
        <v>0.3</v>
      </c>
      <c r="D607">
        <f t="shared" si="696"/>
        <v>0.3</v>
      </c>
      <c r="E607">
        <f t="shared" si="696"/>
        <v>0.3</v>
      </c>
      <c r="F607">
        <f t="shared" si="696"/>
        <v>0.3</v>
      </c>
      <c r="G607">
        <f t="shared" si="696"/>
        <v>0.3</v>
      </c>
      <c r="H607">
        <f t="shared" si="696"/>
        <v>0.3</v>
      </c>
      <c r="I607">
        <f t="shared" si="696"/>
        <v>0.3</v>
      </c>
      <c r="J607">
        <f t="shared" si="696"/>
        <v>0.3</v>
      </c>
      <c r="K607">
        <f t="shared" si="696"/>
        <v>0.3</v>
      </c>
      <c r="L607">
        <f t="shared" si="696"/>
        <v>0.3</v>
      </c>
      <c r="M607">
        <f t="shared" si="696"/>
        <v>0.3</v>
      </c>
    </row>
    <row r="608" spans="1:16" x14ac:dyDescent="0.25">
      <c r="A608">
        <v>8</v>
      </c>
      <c r="B608" t="s">
        <v>261</v>
      </c>
      <c r="C608">
        <f t="shared" ref="C608:M608" si="697">IF(C$640,C551,"")</f>
        <v>30</v>
      </c>
      <c r="D608">
        <f t="shared" si="697"/>
        <v>30</v>
      </c>
      <c r="E608">
        <f t="shared" si="697"/>
        <v>30</v>
      </c>
      <c r="F608">
        <f t="shared" si="697"/>
        <v>30</v>
      </c>
      <c r="G608">
        <f t="shared" si="697"/>
        <v>30</v>
      </c>
      <c r="H608">
        <f t="shared" si="697"/>
        <v>30</v>
      </c>
      <c r="I608">
        <f t="shared" si="697"/>
        <v>30</v>
      </c>
      <c r="J608">
        <f t="shared" si="697"/>
        <v>30</v>
      </c>
      <c r="K608">
        <f t="shared" si="697"/>
        <v>30</v>
      </c>
      <c r="L608">
        <f t="shared" si="697"/>
        <v>30</v>
      </c>
      <c r="M608">
        <f t="shared" si="697"/>
        <v>30</v>
      </c>
    </row>
    <row r="609" spans="1:13" x14ac:dyDescent="0.25">
      <c r="A609">
        <v>9</v>
      </c>
      <c r="B609" t="s">
        <v>57</v>
      </c>
      <c r="C609">
        <f t="shared" ref="C609:M609" si="698">IF(C$640,C552,"")</f>
        <v>0.22</v>
      </c>
      <c r="D609">
        <f t="shared" si="698"/>
        <v>0.185</v>
      </c>
      <c r="E609">
        <f t="shared" si="698"/>
        <v>0.155</v>
      </c>
      <c r="F609">
        <f t="shared" si="698"/>
        <v>0.13600000000000001</v>
      </c>
      <c r="G609">
        <f t="shared" si="698"/>
        <v>0.114</v>
      </c>
      <c r="H609">
        <f t="shared" si="698"/>
        <v>0.10100000000000001</v>
      </c>
      <c r="I609">
        <f t="shared" si="698"/>
        <v>0.1</v>
      </c>
      <c r="J609">
        <f t="shared" si="698"/>
        <v>0.1</v>
      </c>
      <c r="K609">
        <f t="shared" si="698"/>
        <v>0.1</v>
      </c>
      <c r="L609">
        <f t="shared" si="698"/>
        <v>0.1</v>
      </c>
      <c r="M609">
        <f t="shared" si="698"/>
        <v>0.1</v>
      </c>
    </row>
    <row r="610" spans="1:13" x14ac:dyDescent="0.25">
      <c r="A610">
        <v>10</v>
      </c>
      <c r="B610" t="s">
        <v>285</v>
      </c>
      <c r="C610">
        <f t="shared" ref="C610:M610" si="699">IF(C$640,C553,"")</f>
        <v>22</v>
      </c>
      <c r="D610">
        <f t="shared" si="699"/>
        <v>18.5</v>
      </c>
      <c r="E610">
        <f t="shared" si="699"/>
        <v>15.5</v>
      </c>
      <c r="F610">
        <f t="shared" si="699"/>
        <v>13.6</v>
      </c>
      <c r="G610">
        <f t="shared" si="699"/>
        <v>11.4</v>
      </c>
      <c r="H610">
        <f t="shared" si="699"/>
        <v>10.1</v>
      </c>
      <c r="I610">
        <f t="shared" si="699"/>
        <v>10</v>
      </c>
      <c r="J610">
        <f t="shared" si="699"/>
        <v>10</v>
      </c>
      <c r="K610">
        <f t="shared" si="699"/>
        <v>10</v>
      </c>
      <c r="L610">
        <f t="shared" si="699"/>
        <v>10</v>
      </c>
      <c r="M610">
        <f t="shared" si="699"/>
        <v>10</v>
      </c>
    </row>
    <row r="611" spans="1:13" x14ac:dyDescent="0.25">
      <c r="A611">
        <v>11</v>
      </c>
      <c r="B611" t="s">
        <v>196</v>
      </c>
      <c r="C611">
        <f t="shared" ref="C611:M611" ca="1" si="700">IF(C$640,C554,"")</f>
        <v>8.3000000000000007</v>
      </c>
      <c r="D611">
        <f t="shared" ca="1" si="700"/>
        <v>9.4</v>
      </c>
      <c r="E611">
        <f t="shared" ca="1" si="700"/>
        <v>10.4</v>
      </c>
      <c r="F611">
        <f t="shared" ca="1" si="700"/>
        <v>11.2</v>
      </c>
      <c r="G611">
        <f t="shared" ca="1" si="700"/>
        <v>12.1</v>
      </c>
      <c r="H611">
        <f t="shared" ca="1" si="700"/>
        <v>12.9</v>
      </c>
      <c r="I611">
        <f t="shared" ca="1" si="700"/>
        <v>13.7</v>
      </c>
      <c r="J611">
        <f t="shared" ca="1" si="700"/>
        <v>14.6</v>
      </c>
      <c r="K611">
        <f t="shared" ca="1" si="700"/>
        <v>15</v>
      </c>
      <c r="L611">
        <f t="shared" ca="1" si="700"/>
        <v>15</v>
      </c>
      <c r="M611">
        <f t="shared" ca="1" si="700"/>
        <v>15</v>
      </c>
    </row>
    <row r="612" spans="1:13" x14ac:dyDescent="0.25">
      <c r="A612">
        <v>12</v>
      </c>
      <c r="B612" t="s">
        <v>195</v>
      </c>
      <c r="C612">
        <f t="shared" ref="C612:M612" ca="1" si="701">IF(C$640,C555,"")</f>
        <v>5.6</v>
      </c>
      <c r="D612">
        <f t="shared" ca="1" si="701"/>
        <v>6.2</v>
      </c>
      <c r="E612">
        <f t="shared" ca="1" si="701"/>
        <v>6.9</v>
      </c>
      <c r="F612">
        <f t="shared" ca="1" si="701"/>
        <v>7.4</v>
      </c>
      <c r="G612">
        <f t="shared" ca="1" si="701"/>
        <v>8.1</v>
      </c>
      <c r="H612">
        <f t="shared" ca="1" si="701"/>
        <v>8.6</v>
      </c>
      <c r="I612">
        <f t="shared" ca="1" si="701"/>
        <v>9.1</v>
      </c>
      <c r="J612">
        <f t="shared" ca="1" si="701"/>
        <v>9.6999999999999993</v>
      </c>
      <c r="K612">
        <f t="shared" ca="1" si="701"/>
        <v>10</v>
      </c>
      <c r="L612">
        <f t="shared" ca="1" si="701"/>
        <v>10.4</v>
      </c>
      <c r="M612">
        <f t="shared" ca="1" si="701"/>
        <v>10.7</v>
      </c>
    </row>
    <row r="613" spans="1:13" x14ac:dyDescent="0.25">
      <c r="A613">
        <v>13</v>
      </c>
      <c r="B613" t="s">
        <v>448</v>
      </c>
      <c r="C613">
        <f t="shared" ref="C613:M613" si="702">IF(C$640,C556,"")</f>
        <v>8.4</v>
      </c>
      <c r="D613">
        <f t="shared" si="702"/>
        <v>8.5</v>
      </c>
      <c r="E613">
        <f t="shared" si="702"/>
        <v>8.6999999999999993</v>
      </c>
      <c r="F613">
        <f t="shared" si="702"/>
        <v>8.8000000000000007</v>
      </c>
      <c r="G613">
        <f t="shared" si="702"/>
        <v>9.1999999999999993</v>
      </c>
      <c r="H613">
        <f t="shared" si="702"/>
        <v>9.3000000000000007</v>
      </c>
      <c r="I613">
        <f t="shared" si="702"/>
        <v>9.3000000000000007</v>
      </c>
      <c r="J613">
        <f t="shared" si="702"/>
        <v>9.3000000000000007</v>
      </c>
      <c r="K613">
        <f t="shared" si="702"/>
        <v>9.3000000000000007</v>
      </c>
      <c r="L613">
        <f t="shared" si="702"/>
        <v>9.3000000000000007</v>
      </c>
      <c r="M613">
        <f t="shared" si="702"/>
        <v>9.3000000000000007</v>
      </c>
    </row>
    <row r="614" spans="1:13" x14ac:dyDescent="0.25">
      <c r="A614">
        <v>14</v>
      </c>
      <c r="B614" t="s">
        <v>331</v>
      </c>
      <c r="C614">
        <f t="shared" ref="C614:M614" si="703">IF(C$640,C557,"")</f>
        <v>7.5</v>
      </c>
      <c r="D614">
        <f t="shared" si="703"/>
        <v>7.6</v>
      </c>
      <c r="E614">
        <f t="shared" si="703"/>
        <v>7.8</v>
      </c>
      <c r="F614">
        <f t="shared" si="703"/>
        <v>8</v>
      </c>
      <c r="G614">
        <f t="shared" si="703"/>
        <v>8.3000000000000007</v>
      </c>
      <c r="H614">
        <f t="shared" si="703"/>
        <v>8.6</v>
      </c>
      <c r="I614">
        <f t="shared" si="703"/>
        <v>9.3000000000000007</v>
      </c>
      <c r="J614">
        <f t="shared" si="703"/>
        <v>9.3000000000000007</v>
      </c>
      <c r="K614">
        <f t="shared" si="703"/>
        <v>9.3000000000000007</v>
      </c>
      <c r="L614">
        <f t="shared" si="703"/>
        <v>9.3000000000000007</v>
      </c>
      <c r="M614">
        <f t="shared" si="703"/>
        <v>9.3000000000000007</v>
      </c>
    </row>
    <row r="615" spans="1:13" x14ac:dyDescent="0.25">
      <c r="A615">
        <v>15</v>
      </c>
      <c r="B615" t="s">
        <v>137</v>
      </c>
      <c r="C615">
        <f t="shared" ref="C615:M615" si="704">IF(C$640,C558,"")</f>
        <v>2.2999999999999998</v>
      </c>
      <c r="D615">
        <f t="shared" si="704"/>
        <v>2.2999999999999998</v>
      </c>
      <c r="E615">
        <f t="shared" si="704"/>
        <v>2.4</v>
      </c>
      <c r="F615">
        <f t="shared" si="704"/>
        <v>2.4</v>
      </c>
      <c r="G615">
        <f t="shared" si="704"/>
        <v>2.4</v>
      </c>
      <c r="H615">
        <f t="shared" si="704"/>
        <v>2.5</v>
      </c>
      <c r="I615">
        <f t="shared" si="704"/>
        <v>2.6</v>
      </c>
      <c r="J615">
        <f t="shared" si="704"/>
        <v>2.7</v>
      </c>
      <c r="K615">
        <f t="shared" si="704"/>
        <v>2.9</v>
      </c>
      <c r="L615">
        <f t="shared" si="704"/>
        <v>3.1</v>
      </c>
      <c r="M615">
        <f t="shared" si="704"/>
        <v>3.4</v>
      </c>
    </row>
    <row r="616" spans="1:13" x14ac:dyDescent="0.25">
      <c r="A616">
        <v>16</v>
      </c>
      <c r="B616" t="s">
        <v>136</v>
      </c>
      <c r="C616">
        <f t="shared" ref="C616:M616" si="705">IF(C$640,C559,"")</f>
        <v>2.2000000000000002</v>
      </c>
      <c r="D616">
        <f t="shared" si="705"/>
        <v>2.2000000000000002</v>
      </c>
      <c r="E616">
        <f t="shared" si="705"/>
        <v>2.2000000000000002</v>
      </c>
      <c r="F616">
        <f t="shared" si="705"/>
        <v>2.2000000000000002</v>
      </c>
      <c r="G616">
        <f t="shared" si="705"/>
        <v>2.2000000000000002</v>
      </c>
      <c r="H616">
        <f t="shared" si="705"/>
        <v>2.2000000000000002</v>
      </c>
      <c r="I616">
        <f t="shared" si="705"/>
        <v>2.2000000000000002</v>
      </c>
      <c r="J616">
        <f t="shared" si="705"/>
        <v>2.2999999999999998</v>
      </c>
      <c r="K616">
        <f t="shared" si="705"/>
        <v>2.2999999999999998</v>
      </c>
      <c r="L616">
        <f t="shared" si="705"/>
        <v>2.2999999999999998</v>
      </c>
      <c r="M616">
        <f t="shared" si="705"/>
        <v>2.2999999999999998</v>
      </c>
    </row>
    <row r="617" spans="1:13" x14ac:dyDescent="0.25">
      <c r="A617">
        <v>17</v>
      </c>
      <c r="B617" t="s">
        <v>138</v>
      </c>
      <c r="C617">
        <f t="shared" ref="C617:M617" ca="1" si="706">IF(C$640,C560,"")</f>
        <v>0.11</v>
      </c>
      <c r="D617">
        <f t="shared" ca="1" si="706"/>
        <v>0.11</v>
      </c>
      <c r="E617">
        <f t="shared" ca="1" si="706"/>
        <v>0.11</v>
      </c>
      <c r="F617">
        <f t="shared" ca="1" si="706"/>
        <v>0.11</v>
      </c>
      <c r="G617">
        <f t="shared" ca="1" si="706"/>
        <v>0.12</v>
      </c>
      <c r="H617">
        <f t="shared" ca="1" si="706"/>
        <v>0.12</v>
      </c>
      <c r="I617">
        <f t="shared" ca="1" si="706"/>
        <v>0.12</v>
      </c>
      <c r="J617">
        <f t="shared" ca="1" si="706"/>
        <v>0.13</v>
      </c>
      <c r="K617">
        <f t="shared" ca="1" si="706"/>
        <v>0.13</v>
      </c>
      <c r="L617">
        <f t="shared" ca="1" si="706"/>
        <v>0.13</v>
      </c>
      <c r="M617">
        <f t="shared" ca="1" si="706"/>
        <v>0.14000000000000001</v>
      </c>
    </row>
    <row r="618" spans="1:13" x14ac:dyDescent="0.25">
      <c r="A618">
        <v>18</v>
      </c>
      <c r="B618" t="s">
        <v>134</v>
      </c>
      <c r="C618">
        <f t="shared" ref="C618:M618" ca="1" si="707">IF(C$640,C561,"")</f>
        <v>8.7999999999999995E-2</v>
      </c>
      <c r="D618">
        <f t="shared" ca="1" si="707"/>
        <v>0.09</v>
      </c>
      <c r="E618">
        <f t="shared" ca="1" si="707"/>
        <v>9.2999999999999999E-2</v>
      </c>
      <c r="F618">
        <f t="shared" ca="1" si="707"/>
        <v>9.5000000000000001E-2</v>
      </c>
      <c r="G618">
        <f t="shared" ca="1" si="707"/>
        <v>9.8000000000000004E-2</v>
      </c>
      <c r="H618">
        <f t="shared" ca="1" si="707"/>
        <v>0.10100000000000001</v>
      </c>
      <c r="I618">
        <f t="shared" ca="1" si="707"/>
        <v>0.106</v>
      </c>
      <c r="J618">
        <f t="shared" ca="1" si="707"/>
        <v>0.111</v>
      </c>
      <c r="K618">
        <f t="shared" ca="1" si="707"/>
        <v>0.11600000000000001</v>
      </c>
      <c r="L618">
        <f t="shared" ca="1" si="707"/>
        <v>0.121</v>
      </c>
      <c r="M618">
        <f t="shared" ca="1" si="707"/>
        <v>0.127</v>
      </c>
    </row>
    <row r="619" spans="1:13" x14ac:dyDescent="0.25">
      <c r="A619">
        <v>19</v>
      </c>
      <c r="B619" t="s">
        <v>135</v>
      </c>
      <c r="C619">
        <f t="shared" ref="C619:M619" ca="1" si="708">IF(C$640,C562,"")</f>
        <v>5.6000000000000001E-2</v>
      </c>
      <c r="D619">
        <f t="shared" ca="1" si="708"/>
        <v>5.7000000000000002E-2</v>
      </c>
      <c r="E619">
        <f t="shared" ca="1" si="708"/>
        <v>5.7000000000000002E-2</v>
      </c>
      <c r="F619">
        <f t="shared" ca="1" si="708"/>
        <v>5.8000000000000003E-2</v>
      </c>
      <c r="G619">
        <f t="shared" ca="1" si="708"/>
        <v>5.8999999999999997E-2</v>
      </c>
      <c r="H619">
        <f t="shared" ca="1" si="708"/>
        <v>0.06</v>
      </c>
      <c r="I619">
        <f t="shared" ca="1" si="708"/>
        <v>6.2E-2</v>
      </c>
      <c r="J619">
        <f t="shared" ca="1" si="708"/>
        <v>6.4000000000000001E-2</v>
      </c>
      <c r="K619">
        <f t="shared" ca="1" si="708"/>
        <v>6.6000000000000003E-2</v>
      </c>
      <c r="L619">
        <f t="shared" ca="1" si="708"/>
        <v>6.7000000000000004E-2</v>
      </c>
      <c r="M619">
        <f t="shared" ca="1" si="708"/>
        <v>7.0000000000000007E-2</v>
      </c>
    </row>
    <row r="620" spans="1:13" x14ac:dyDescent="0.25">
      <c r="A620">
        <v>20</v>
      </c>
      <c r="B620" t="s">
        <v>142</v>
      </c>
      <c r="C620" t="str">
        <f t="shared" ref="C620:M620" ca="1" si="709">IF(C$640,C563,"")</f>
        <v>A</v>
      </c>
      <c r="D620" t="str">
        <f t="shared" ca="1" si="709"/>
        <v>A</v>
      </c>
      <c r="E620" t="str">
        <f t="shared" ca="1" si="709"/>
        <v>A</v>
      </c>
      <c r="F620" t="str">
        <f t="shared" ca="1" si="709"/>
        <v>A</v>
      </c>
      <c r="G620" t="str">
        <f t="shared" ca="1" si="709"/>
        <v>A</v>
      </c>
      <c r="H620" t="str">
        <f t="shared" ca="1" si="709"/>
        <v>B</v>
      </c>
      <c r="I620" t="str">
        <f t="shared" ca="1" si="709"/>
        <v>B</v>
      </c>
      <c r="J620" t="str">
        <f t="shared" ca="1" si="709"/>
        <v>B</v>
      </c>
      <c r="K620" t="str">
        <f t="shared" ca="1" si="709"/>
        <v>B</v>
      </c>
      <c r="L620" t="str">
        <f t="shared" ca="1" si="709"/>
        <v>B</v>
      </c>
      <c r="M620" t="str">
        <f t="shared" ca="1" si="709"/>
        <v>B</v>
      </c>
    </row>
    <row r="621" spans="1:13" x14ac:dyDescent="0.25">
      <c r="A621">
        <v>21</v>
      </c>
      <c r="B621" t="s">
        <v>198</v>
      </c>
      <c r="C621" t="str">
        <f t="shared" ref="C621:M621" ca="1" si="710">IF(C$640,C564,"")</f>
        <v>&lt; 0.2</v>
      </c>
      <c r="D621" t="str">
        <f t="shared" ca="1" si="710"/>
        <v>&lt; 0.2</v>
      </c>
      <c r="E621" t="str">
        <f t="shared" ca="1" si="710"/>
        <v>&lt; 0.2</v>
      </c>
      <c r="F621" t="str">
        <f t="shared" ca="1" si="710"/>
        <v>&lt; 0.2</v>
      </c>
      <c r="G621" t="str">
        <f t="shared" ca="1" si="710"/>
        <v>&lt; 0.2</v>
      </c>
      <c r="H621" t="str">
        <f t="shared" ca="1" si="710"/>
        <v>&lt; 0.2</v>
      </c>
      <c r="I621" t="str">
        <f t="shared" ca="1" si="710"/>
        <v>&lt; 0.2</v>
      </c>
      <c r="J621" t="str">
        <f t="shared" ca="1" si="710"/>
        <v>&lt; 0.2</v>
      </c>
      <c r="K621" t="str">
        <f t="shared" ca="1" si="710"/>
        <v>&lt; 0.3</v>
      </c>
      <c r="L621" t="str">
        <f t="shared" ca="1" si="710"/>
        <v>&lt; 0.3</v>
      </c>
      <c r="M621" t="str">
        <f t="shared" ca="1" si="710"/>
        <v>&lt; 0.3</v>
      </c>
    </row>
    <row r="622" spans="1:13" ht="43.5" customHeight="1" x14ac:dyDescent="0.25">
      <c r="A622">
        <v>22</v>
      </c>
      <c r="B622" s="211" t="str">
        <f t="shared" ref="B622:M622" si="711">IF($C$17,B580,B565)</f>
        <v>350 mm 
High-Profile Connection Box</v>
      </c>
      <c r="C622" t="str">
        <f t="shared" si="711"/>
        <v>DN200</v>
      </c>
      <c r="D622" t="str">
        <f t="shared" si="711"/>
        <v>DN200</v>
      </c>
      <c r="E622" t="str">
        <f t="shared" si="711"/>
        <v>DN200</v>
      </c>
      <c r="F622" t="str">
        <f t="shared" si="711"/>
        <v>DN200</v>
      </c>
      <c r="G622" t="str">
        <f t="shared" si="711"/>
        <v>DN200</v>
      </c>
      <c r="H622" t="str">
        <f t="shared" si="711"/>
        <v>DN200</v>
      </c>
      <c r="I622" t="str">
        <f t="shared" si="711"/>
        <v>DN200</v>
      </c>
      <c r="J622" t="str">
        <f t="shared" si="711"/>
        <v>DN200</v>
      </c>
      <c r="K622" t="str">
        <f t="shared" si="711"/>
        <v>DN200</v>
      </c>
      <c r="L622" t="str">
        <f t="shared" si="711"/>
        <v>DN200</v>
      </c>
      <c r="M622" t="str">
        <f t="shared" si="711"/>
        <v>DN200</v>
      </c>
    </row>
    <row r="623" spans="1:13" x14ac:dyDescent="0.25">
      <c r="A623">
        <v>23</v>
      </c>
      <c r="B623" t="s">
        <v>170</v>
      </c>
      <c r="C623">
        <f t="shared" ref="C623:M623" si="712">IF($C$17,C581,C566)</f>
        <v>44.5</v>
      </c>
      <c r="D623">
        <f t="shared" si="712"/>
        <v>44.5</v>
      </c>
      <c r="E623">
        <f t="shared" si="712"/>
        <v>44.5</v>
      </c>
      <c r="F623">
        <f t="shared" si="712"/>
        <v>44.5</v>
      </c>
      <c r="G623">
        <f t="shared" si="712"/>
        <v>44.5</v>
      </c>
      <c r="H623">
        <f t="shared" si="712"/>
        <v>44.5</v>
      </c>
      <c r="I623">
        <f t="shared" si="712"/>
        <v>47</v>
      </c>
      <c r="J623">
        <f t="shared" si="712"/>
        <v>68.599999999999994</v>
      </c>
      <c r="K623">
        <f t="shared" si="712"/>
        <v>89.4</v>
      </c>
      <c r="L623">
        <f t="shared" si="712"/>
        <v>117.1</v>
      </c>
      <c r="M623">
        <f t="shared" si="712"/>
        <v>160.9</v>
      </c>
    </row>
    <row r="624" spans="1:13" x14ac:dyDescent="0.25">
      <c r="A624">
        <v>24</v>
      </c>
      <c r="B624" t="s">
        <v>602</v>
      </c>
      <c r="C624">
        <f t="shared" ref="C624:M624" si="713">IF($C$17,C582,C567)</f>
        <v>50.7</v>
      </c>
      <c r="D624">
        <f t="shared" si="713"/>
        <v>50.7</v>
      </c>
      <c r="E624">
        <f t="shared" si="713"/>
        <v>50.7</v>
      </c>
      <c r="F624">
        <f t="shared" si="713"/>
        <v>50.7</v>
      </c>
      <c r="G624">
        <f t="shared" si="713"/>
        <v>50.7</v>
      </c>
      <c r="H624">
        <f t="shared" si="713"/>
        <v>50.7</v>
      </c>
      <c r="I624">
        <f t="shared" si="713"/>
        <v>53.2</v>
      </c>
      <c r="J624">
        <f t="shared" si="713"/>
        <v>74.8</v>
      </c>
      <c r="K624">
        <f t="shared" si="713"/>
        <v>95.6</v>
      </c>
      <c r="L624">
        <f t="shared" si="713"/>
        <v>123.3</v>
      </c>
      <c r="M624">
        <f t="shared" si="713"/>
        <v>167.1</v>
      </c>
    </row>
    <row r="625" spans="1:18" x14ac:dyDescent="0.25">
      <c r="A625">
        <v>25</v>
      </c>
      <c r="B625" t="s">
        <v>478</v>
      </c>
      <c r="C625">
        <f t="shared" ref="C625:M625" ca="1" si="714">IF($C$17,C583,C568)</f>
        <v>41.8</v>
      </c>
      <c r="D625">
        <f t="shared" ca="1" si="714"/>
        <v>41.3</v>
      </c>
      <c r="E625">
        <f t="shared" ca="1" si="714"/>
        <v>40.700000000000003</v>
      </c>
      <c r="F625">
        <f t="shared" ca="1" si="714"/>
        <v>40</v>
      </c>
      <c r="G625">
        <f t="shared" ca="1" si="714"/>
        <v>39.1</v>
      </c>
      <c r="H625">
        <f t="shared" ca="1" si="714"/>
        <v>38.5</v>
      </c>
      <c r="I625">
        <f t="shared" ca="1" si="714"/>
        <v>39.299999999999997</v>
      </c>
      <c r="J625">
        <f t="shared" ca="1" si="714"/>
        <v>60.2</v>
      </c>
      <c r="K625" t="str">
        <f t="shared" ca="1" si="714"/>
        <v>-</v>
      </c>
      <c r="L625" t="str">
        <f t="shared" ca="1" si="714"/>
        <v>-</v>
      </c>
      <c r="M625" t="str">
        <f t="shared" ca="1" si="714"/>
        <v>-</v>
      </c>
    </row>
    <row r="626" spans="1:18" x14ac:dyDescent="0.25">
      <c r="A626">
        <v>26</v>
      </c>
      <c r="B626" t="s">
        <v>477</v>
      </c>
      <c r="C626">
        <f t="shared" ref="C626:M626" ca="1" si="715">IF($C$17,C584,C569)</f>
        <v>26.8</v>
      </c>
      <c r="D626">
        <f t="shared" ca="1" si="715"/>
        <v>26.3</v>
      </c>
      <c r="E626">
        <f t="shared" ca="1" si="715"/>
        <v>25.7</v>
      </c>
      <c r="F626">
        <f t="shared" ca="1" si="715"/>
        <v>25</v>
      </c>
      <c r="G626">
        <f t="shared" ca="1" si="715"/>
        <v>24.1</v>
      </c>
      <c r="H626">
        <f t="shared" ca="1" si="715"/>
        <v>23.5</v>
      </c>
      <c r="I626">
        <f t="shared" ca="1" si="715"/>
        <v>24.3</v>
      </c>
      <c r="J626">
        <f t="shared" ca="1" si="715"/>
        <v>45.2</v>
      </c>
      <c r="K626" t="str">
        <f t="shared" ca="1" si="715"/>
        <v>-</v>
      </c>
      <c r="L626" t="str">
        <f t="shared" ca="1" si="715"/>
        <v>-</v>
      </c>
      <c r="M626" t="str">
        <f t="shared" ca="1" si="715"/>
        <v>-</v>
      </c>
    </row>
    <row r="627" spans="1:18" ht="45" x14ac:dyDescent="0.25">
      <c r="A627">
        <v>27</v>
      </c>
      <c r="B627" s="211" t="str">
        <f>IF($C$17,B585,B570)</f>
        <v>250 mm 
Medium-Profile Connection Box</v>
      </c>
      <c r="C627" t="str">
        <f t="shared" ref="C627:M627" si="716">IF($C$17,IF($B$480,C585,""),C570)</f>
        <v>DN200</v>
      </c>
      <c r="D627" t="str">
        <f t="shared" si="716"/>
        <v>DN200</v>
      </c>
      <c r="E627" t="str">
        <f t="shared" si="716"/>
        <v>DN200</v>
      </c>
      <c r="F627" t="str">
        <f t="shared" si="716"/>
        <v>DN200</v>
      </c>
      <c r="G627" t="str">
        <f t="shared" si="716"/>
        <v>DN200</v>
      </c>
      <c r="H627" t="str">
        <f t="shared" si="716"/>
        <v>DN200</v>
      </c>
      <c r="I627" t="str">
        <f t="shared" si="716"/>
        <v>DN200</v>
      </c>
      <c r="J627" t="str">
        <f t="shared" si="716"/>
        <v>DN200</v>
      </c>
      <c r="K627" t="str">
        <f t="shared" si="716"/>
        <v>DN200</v>
      </c>
      <c r="L627" t="str">
        <f t="shared" si="716"/>
        <v>DN200</v>
      </c>
      <c r="M627" t="str">
        <f t="shared" si="716"/>
        <v>DN200</v>
      </c>
    </row>
    <row r="628" spans="1:18" x14ac:dyDescent="0.25">
      <c r="A628">
        <v>28</v>
      </c>
      <c r="B628" t="s">
        <v>170</v>
      </c>
      <c r="C628">
        <f t="shared" ref="C628:M628" si="717">IF($C$17,IF($B$480,C586,""),C571)</f>
        <v>46.2</v>
      </c>
      <c r="D628">
        <f t="shared" si="717"/>
        <v>46.2</v>
      </c>
      <c r="E628">
        <f t="shared" si="717"/>
        <v>46.2</v>
      </c>
      <c r="F628">
        <f t="shared" si="717"/>
        <v>46.2</v>
      </c>
      <c r="G628">
        <f t="shared" si="717"/>
        <v>46.2</v>
      </c>
      <c r="H628">
        <f t="shared" si="717"/>
        <v>46.2</v>
      </c>
      <c r="I628">
        <f t="shared" si="717"/>
        <v>48.7</v>
      </c>
      <c r="J628">
        <f t="shared" si="717"/>
        <v>70.3</v>
      </c>
      <c r="K628">
        <f t="shared" si="717"/>
        <v>91.2</v>
      </c>
      <c r="L628">
        <f t="shared" si="717"/>
        <v>118.8</v>
      </c>
      <c r="M628">
        <f t="shared" si="717"/>
        <v>162.6</v>
      </c>
    </row>
    <row r="629" spans="1:18" x14ac:dyDescent="0.25">
      <c r="A629">
        <v>29</v>
      </c>
      <c r="B629" t="s">
        <v>605</v>
      </c>
      <c r="C629">
        <f t="shared" ref="C629:M629" si="718">IF($C$17,IF($B$480,C587,""),C572)</f>
        <v>52.8</v>
      </c>
      <c r="D629">
        <f t="shared" si="718"/>
        <v>52.8</v>
      </c>
      <c r="E629">
        <f t="shared" si="718"/>
        <v>52.8</v>
      </c>
      <c r="F629">
        <f t="shared" si="718"/>
        <v>52.8</v>
      </c>
      <c r="G629">
        <f t="shared" si="718"/>
        <v>52.8</v>
      </c>
      <c r="H629">
        <f t="shared" si="718"/>
        <v>52.8</v>
      </c>
      <c r="I629">
        <f t="shared" si="718"/>
        <v>55.2</v>
      </c>
      <c r="J629">
        <f t="shared" si="718"/>
        <v>76.900000000000006</v>
      </c>
      <c r="K629">
        <f t="shared" si="718"/>
        <v>97.7</v>
      </c>
      <c r="L629">
        <f t="shared" si="718"/>
        <v>125.4</v>
      </c>
      <c r="M629">
        <f t="shared" si="718"/>
        <v>169.2</v>
      </c>
    </row>
    <row r="630" spans="1:18" x14ac:dyDescent="0.25">
      <c r="A630">
        <v>30</v>
      </c>
      <c r="B630" t="s">
        <v>478</v>
      </c>
      <c r="C630">
        <f t="shared" ref="C630:M630" ca="1" si="719">IF($C$17,IF($B$480,C588,""),C573)</f>
        <v>43.3</v>
      </c>
      <c r="D630">
        <f t="shared" ca="1" si="719"/>
        <v>42.7</v>
      </c>
      <c r="E630">
        <f t="shared" ca="1" si="719"/>
        <v>42.1</v>
      </c>
      <c r="F630">
        <f t="shared" ca="1" si="719"/>
        <v>41.4</v>
      </c>
      <c r="G630">
        <f t="shared" ca="1" si="719"/>
        <v>40.6</v>
      </c>
      <c r="H630">
        <f t="shared" ca="1" si="719"/>
        <v>40</v>
      </c>
      <c r="I630">
        <f t="shared" ca="1" si="719"/>
        <v>40.700000000000003</v>
      </c>
      <c r="J630">
        <f t="shared" ca="1" si="719"/>
        <v>61.6</v>
      </c>
      <c r="K630" t="str">
        <f t="shared" ca="1" si="719"/>
        <v>-</v>
      </c>
      <c r="L630" t="str">
        <f t="shared" ca="1" si="719"/>
        <v>-</v>
      </c>
      <c r="M630" t="str">
        <f t="shared" ca="1" si="719"/>
        <v>-</v>
      </c>
    </row>
    <row r="631" spans="1:18" x14ac:dyDescent="0.25">
      <c r="A631">
        <v>31</v>
      </c>
      <c r="B631" t="s">
        <v>477</v>
      </c>
      <c r="C631">
        <f t="shared" ref="C631:M631" ca="1" si="720">IF($C$17,IF($B$480,C589,""),C574)</f>
        <v>28.3</v>
      </c>
      <c r="D631">
        <f t="shared" ca="1" si="720"/>
        <v>27.7</v>
      </c>
      <c r="E631">
        <f t="shared" ca="1" si="720"/>
        <v>27.1</v>
      </c>
      <c r="F631">
        <f t="shared" ca="1" si="720"/>
        <v>26.4</v>
      </c>
      <c r="G631">
        <f t="shared" ca="1" si="720"/>
        <v>25.6</v>
      </c>
      <c r="H631">
        <f t="shared" ca="1" si="720"/>
        <v>25</v>
      </c>
      <c r="I631">
        <f t="shared" ca="1" si="720"/>
        <v>25.7</v>
      </c>
      <c r="J631">
        <f t="shared" ca="1" si="720"/>
        <v>46.6</v>
      </c>
      <c r="K631" t="str">
        <f t="shared" ca="1" si="720"/>
        <v>-</v>
      </c>
      <c r="L631" t="str">
        <f t="shared" ca="1" si="720"/>
        <v>-</v>
      </c>
      <c r="M631" t="str">
        <f t="shared" ca="1" si="720"/>
        <v>-</v>
      </c>
    </row>
    <row r="632" spans="1:18" ht="45" x14ac:dyDescent="0.25">
      <c r="A632">
        <v>32</v>
      </c>
      <c r="B632" s="211" t="str">
        <f t="shared" ref="B632:M632" si="721">IF($C$17,B590,B575)</f>
        <v>200 mm 
Low-Profile Connection Box</v>
      </c>
      <c r="C632" t="str">
        <f t="shared" si="721"/>
        <v>DN250</v>
      </c>
      <c r="D632" t="str">
        <f t="shared" si="721"/>
        <v>DN250</v>
      </c>
      <c r="E632" t="str">
        <f t="shared" si="721"/>
        <v>DN250</v>
      </c>
      <c r="F632" t="str">
        <f t="shared" si="721"/>
        <v>DN250</v>
      </c>
      <c r="G632" t="str">
        <f t="shared" si="721"/>
        <v>DN250</v>
      </c>
      <c r="H632" t="str">
        <f t="shared" si="721"/>
        <v>DN250</v>
      </c>
      <c r="I632" t="str">
        <f t="shared" si="721"/>
        <v>DN250</v>
      </c>
      <c r="J632" t="str">
        <f t="shared" si="721"/>
        <v>DN250</v>
      </c>
      <c r="K632" t="str">
        <f t="shared" si="721"/>
        <v>DN250</v>
      </c>
      <c r="L632" t="str">
        <f t="shared" si="721"/>
        <v>DN250</v>
      </c>
      <c r="M632" t="str">
        <f t="shared" si="721"/>
        <v>DN250</v>
      </c>
    </row>
    <row r="633" spans="1:18" x14ac:dyDescent="0.25">
      <c r="A633">
        <v>33</v>
      </c>
      <c r="B633" t="s">
        <v>170</v>
      </c>
      <c r="C633">
        <f t="shared" ref="C633:M633" si="722">IF($C$17,C591,C576)</f>
        <v>57.5</v>
      </c>
      <c r="D633">
        <f t="shared" si="722"/>
        <v>47.5</v>
      </c>
      <c r="E633">
        <f t="shared" si="722"/>
        <v>47.5</v>
      </c>
      <c r="F633">
        <f t="shared" si="722"/>
        <v>47.5</v>
      </c>
      <c r="G633">
        <f t="shared" si="722"/>
        <v>47.5</v>
      </c>
      <c r="H633">
        <f t="shared" si="722"/>
        <v>47.5</v>
      </c>
      <c r="I633">
        <f t="shared" si="722"/>
        <v>50</v>
      </c>
      <c r="J633">
        <f t="shared" si="722"/>
        <v>71.599999999999994</v>
      </c>
      <c r="K633">
        <f t="shared" si="722"/>
        <v>92.4</v>
      </c>
      <c r="L633">
        <f t="shared" si="722"/>
        <v>120.1</v>
      </c>
      <c r="M633">
        <f t="shared" si="722"/>
        <v>163.9</v>
      </c>
    </row>
    <row r="634" spans="1:18" ht="13.5" customHeight="1" x14ac:dyDescent="0.25">
      <c r="A634">
        <v>34</v>
      </c>
      <c r="B634" t="s">
        <v>605</v>
      </c>
      <c r="C634">
        <f t="shared" ref="C634:M634" si="723">IF($C$17,C592,C577)</f>
        <v>63.3</v>
      </c>
      <c r="D634">
        <f t="shared" si="723"/>
        <v>53.3</v>
      </c>
      <c r="E634">
        <f t="shared" si="723"/>
        <v>53.3</v>
      </c>
      <c r="F634">
        <f t="shared" si="723"/>
        <v>53.3</v>
      </c>
      <c r="G634">
        <f t="shared" si="723"/>
        <v>53.3</v>
      </c>
      <c r="H634">
        <f t="shared" si="723"/>
        <v>53.3</v>
      </c>
      <c r="I634">
        <f t="shared" si="723"/>
        <v>55.7</v>
      </c>
      <c r="J634">
        <f t="shared" si="723"/>
        <v>77.400000000000006</v>
      </c>
      <c r="K634">
        <f t="shared" si="723"/>
        <v>98.2</v>
      </c>
      <c r="L634">
        <f t="shared" si="723"/>
        <v>125.9</v>
      </c>
      <c r="M634">
        <f t="shared" si="723"/>
        <v>169.6</v>
      </c>
    </row>
    <row r="635" spans="1:18" x14ac:dyDescent="0.25">
      <c r="A635">
        <v>35</v>
      </c>
      <c r="B635" t="s">
        <v>478</v>
      </c>
      <c r="C635">
        <f t="shared" ref="C635:M635" ca="1" si="724">IF($C$17,C593,C578)</f>
        <v>47.1</v>
      </c>
      <c r="D635">
        <f t="shared" ca="1" si="724"/>
        <v>46.5</v>
      </c>
      <c r="E635">
        <f t="shared" ca="1" si="724"/>
        <v>45.9</v>
      </c>
      <c r="F635">
        <f t="shared" ca="1" si="724"/>
        <v>45.2</v>
      </c>
      <c r="G635">
        <f t="shared" ca="1" si="724"/>
        <v>44.4</v>
      </c>
      <c r="H635">
        <f t="shared" ca="1" si="724"/>
        <v>43.8</v>
      </c>
      <c r="I635">
        <f t="shared" ca="1" si="724"/>
        <v>44.6</v>
      </c>
      <c r="J635">
        <f t="shared" ca="1" si="724"/>
        <v>65.400000000000006</v>
      </c>
      <c r="K635" t="str">
        <f t="shared" ca="1" si="724"/>
        <v>-</v>
      </c>
      <c r="L635" t="str">
        <f t="shared" ca="1" si="724"/>
        <v>-</v>
      </c>
      <c r="M635" t="str">
        <f t="shared" ca="1" si="724"/>
        <v>-</v>
      </c>
    </row>
    <row r="636" spans="1:18" x14ac:dyDescent="0.25">
      <c r="A636">
        <v>36</v>
      </c>
      <c r="B636" t="s">
        <v>477</v>
      </c>
      <c r="C636">
        <f t="shared" ref="C636:M636" ca="1" si="725">IF($C$17,C594,C579)</f>
        <v>32.1</v>
      </c>
      <c r="D636">
        <f t="shared" ca="1" si="725"/>
        <v>31.5</v>
      </c>
      <c r="E636">
        <f t="shared" ca="1" si="725"/>
        <v>30.9</v>
      </c>
      <c r="F636">
        <f t="shared" ca="1" si="725"/>
        <v>30.2</v>
      </c>
      <c r="G636">
        <f t="shared" ca="1" si="725"/>
        <v>29.4</v>
      </c>
      <c r="H636">
        <f t="shared" ca="1" si="725"/>
        <v>28.8</v>
      </c>
      <c r="I636">
        <f t="shared" ca="1" si="725"/>
        <v>29.6</v>
      </c>
      <c r="J636">
        <f t="shared" ca="1" si="725"/>
        <v>50.4</v>
      </c>
      <c r="K636" t="str">
        <f t="shared" ca="1" si="725"/>
        <v>-</v>
      </c>
      <c r="L636" t="str">
        <f t="shared" ca="1" si="725"/>
        <v>-</v>
      </c>
      <c r="M636" t="str">
        <f t="shared" ca="1" si="725"/>
        <v>-</v>
      </c>
    </row>
    <row r="639" spans="1:18" x14ac:dyDescent="0.25">
      <c r="B639" t="s">
        <v>212</v>
      </c>
      <c r="C639" s="5" t="s">
        <v>334</v>
      </c>
      <c r="D639" s="5" t="s">
        <v>335</v>
      </c>
      <c r="E639" s="5" t="s">
        <v>353</v>
      </c>
      <c r="F639" s="5" t="s">
        <v>354</v>
      </c>
      <c r="G639" s="5" t="s">
        <v>355</v>
      </c>
      <c r="H639" s="5" t="s">
        <v>356</v>
      </c>
      <c r="I639" s="5" t="s">
        <v>400</v>
      </c>
      <c r="J639" s="5" t="s">
        <v>415</v>
      </c>
      <c r="K639" s="5" t="s">
        <v>416</v>
      </c>
      <c r="L639" s="5" t="s">
        <v>417</v>
      </c>
      <c r="M639" s="5" t="s">
        <v>418</v>
      </c>
    </row>
    <row r="640" spans="1:18" x14ac:dyDescent="0.25">
      <c r="B640" t="s">
        <v>434</v>
      </c>
      <c r="C640" t="b">
        <f>C169</f>
        <v>1</v>
      </c>
      <c r="D640" t="b">
        <f>J169</f>
        <v>1</v>
      </c>
      <c r="E640" t="b">
        <f>Q169</f>
        <v>1</v>
      </c>
      <c r="F640" t="b">
        <f>X169</f>
        <v>1</v>
      </c>
      <c r="G640" t="b">
        <f>AE169</f>
        <v>1</v>
      </c>
      <c r="H640" t="b">
        <f>AL169</f>
        <v>1</v>
      </c>
      <c r="I640" t="b">
        <f>AS169</f>
        <v>1</v>
      </c>
      <c r="J640" t="b">
        <f>AZ169</f>
        <v>1</v>
      </c>
      <c r="K640" t="b">
        <f>BG169</f>
        <v>1</v>
      </c>
      <c r="L640" t="b">
        <f>BN169</f>
        <v>1</v>
      </c>
      <c r="M640" t="b">
        <f>BU169</f>
        <v>1</v>
      </c>
      <c r="N640" s="157"/>
      <c r="O640" t="s">
        <v>457</v>
      </c>
      <c r="Q640">
        <f>0.5*1.2*3.5^2</f>
        <v>7.35</v>
      </c>
      <c r="R640">
        <f>0.5*1.2*3.8^2</f>
        <v>8.6639999999999997</v>
      </c>
    </row>
    <row r="641" spans="2:16" x14ac:dyDescent="0.25">
      <c r="N641" s="157"/>
    </row>
    <row r="642" spans="2:16" x14ac:dyDescent="0.25">
      <c r="B642" t="s">
        <v>238</v>
      </c>
      <c r="C642" t="b">
        <f t="shared" ref="C642:M642" si="726">C603&gt;C602</f>
        <v>0</v>
      </c>
      <c r="D642" t="b">
        <f t="shared" si="726"/>
        <v>0</v>
      </c>
      <c r="E642" t="b">
        <f t="shared" si="726"/>
        <v>0</v>
      </c>
      <c r="F642" t="b">
        <f t="shared" si="726"/>
        <v>0</v>
      </c>
      <c r="G642" t="b">
        <f t="shared" si="726"/>
        <v>0</v>
      </c>
      <c r="H642" t="b">
        <f t="shared" si="726"/>
        <v>0</v>
      </c>
      <c r="I642" t="b">
        <f t="shared" si="726"/>
        <v>1</v>
      </c>
      <c r="J642" t="b">
        <f t="shared" si="726"/>
        <v>1</v>
      </c>
      <c r="K642" t="b">
        <f t="shared" si="726"/>
        <v>1</v>
      </c>
      <c r="L642" t="b">
        <f t="shared" si="726"/>
        <v>1</v>
      </c>
      <c r="M642" t="b">
        <f t="shared" si="726"/>
        <v>1</v>
      </c>
      <c r="N642" s="157"/>
      <c r="O642" t="s">
        <v>239</v>
      </c>
    </row>
    <row r="643" spans="2:16" x14ac:dyDescent="0.25">
      <c r="B643" t="s">
        <v>1017</v>
      </c>
      <c r="C643">
        <f ca="1">IF(OR(C605&lt;0.5,C605&gt;1),2,IF(AND(C605&gt;=0.5,C605&lt;=$C$19),1,0))</f>
        <v>2</v>
      </c>
      <c r="D643">
        <f t="shared" ref="D643:M643" ca="1" si="727">IF(OR(D605&lt;0.5,D605&gt;1),2,IF(AND(D605&gt;=0.5,D605&lt;=$C$19),1,0))</f>
        <v>2</v>
      </c>
      <c r="E643">
        <f t="shared" ca="1" si="727"/>
        <v>2</v>
      </c>
      <c r="F643">
        <f t="shared" ca="1" si="727"/>
        <v>1</v>
      </c>
      <c r="G643">
        <f t="shared" ca="1" si="727"/>
        <v>0</v>
      </c>
      <c r="H643">
        <f t="shared" ca="1" si="727"/>
        <v>0</v>
      </c>
      <c r="I643">
        <f t="shared" ca="1" si="727"/>
        <v>2</v>
      </c>
      <c r="J643">
        <f t="shared" ca="1" si="727"/>
        <v>2</v>
      </c>
      <c r="K643">
        <f t="shared" ca="1" si="727"/>
        <v>2</v>
      </c>
      <c r="L643">
        <f t="shared" ca="1" si="727"/>
        <v>2</v>
      </c>
      <c r="M643">
        <f t="shared" ca="1" si="727"/>
        <v>2</v>
      </c>
      <c r="N643" s="157"/>
    </row>
    <row r="644" spans="2:16" x14ac:dyDescent="0.25">
      <c r="B644" t="s">
        <v>240</v>
      </c>
      <c r="C644" t="b">
        <f t="shared" ref="C644:M644" si="728">C608&lt;C610</f>
        <v>0</v>
      </c>
      <c r="D644" t="b">
        <f t="shared" si="728"/>
        <v>0</v>
      </c>
      <c r="E644" t="b">
        <f t="shared" si="728"/>
        <v>0</v>
      </c>
      <c r="F644" t="b">
        <f t="shared" si="728"/>
        <v>0</v>
      </c>
      <c r="G644" t="b">
        <f t="shared" si="728"/>
        <v>0</v>
      </c>
      <c r="H644" t="b">
        <f t="shared" si="728"/>
        <v>0</v>
      </c>
      <c r="I644" t="b">
        <f t="shared" si="728"/>
        <v>0</v>
      </c>
      <c r="J644" t="b">
        <f t="shared" si="728"/>
        <v>0</v>
      </c>
      <c r="K644" t="b">
        <f t="shared" si="728"/>
        <v>0</v>
      </c>
      <c r="L644" t="b">
        <f t="shared" si="728"/>
        <v>0</v>
      </c>
      <c r="M644" t="b">
        <f t="shared" si="728"/>
        <v>0</v>
      </c>
      <c r="N644" s="157"/>
      <c r="O644" t="s">
        <v>236</v>
      </c>
    </row>
    <row r="645" spans="2:16" x14ac:dyDescent="0.25">
      <c r="B645" t="s">
        <v>603</v>
      </c>
      <c r="C645" t="b">
        <f t="shared" ref="C645:M645" ca="1" si="729">OR(NOT(C640),C642,C644,C643)</f>
        <v>1</v>
      </c>
      <c r="D645" t="b">
        <f t="shared" ca="1" si="729"/>
        <v>1</v>
      </c>
      <c r="E645" t="b">
        <f t="shared" ca="1" si="729"/>
        <v>1</v>
      </c>
      <c r="F645" t="b">
        <f t="shared" ca="1" si="729"/>
        <v>1</v>
      </c>
      <c r="G645" t="b">
        <f t="shared" ca="1" si="729"/>
        <v>0</v>
      </c>
      <c r="H645" t="b">
        <f t="shared" ca="1" si="729"/>
        <v>0</v>
      </c>
      <c r="I645" t="b">
        <f t="shared" ca="1" si="729"/>
        <v>1</v>
      </c>
      <c r="J645" t="b">
        <f t="shared" ca="1" si="729"/>
        <v>1</v>
      </c>
      <c r="K645" t="b">
        <f t="shared" ca="1" si="729"/>
        <v>1</v>
      </c>
      <c r="L645" t="b">
        <f t="shared" ca="1" si="729"/>
        <v>1</v>
      </c>
      <c r="M645" t="b">
        <f t="shared" ca="1" si="729"/>
        <v>1</v>
      </c>
      <c r="N645" s="157" t="b">
        <f ca="1">OR(C645:M645)</f>
        <v>1</v>
      </c>
      <c r="O645" t="s">
        <v>237</v>
      </c>
    </row>
    <row r="646" spans="2:16" x14ac:dyDescent="0.25">
      <c r="B646" t="s">
        <v>303</v>
      </c>
      <c r="C646" t="b">
        <f ca="1">AND(C645:M645)</f>
        <v>0</v>
      </c>
      <c r="N646" s="157"/>
    </row>
    <row r="647" spans="2:16" x14ac:dyDescent="0.25">
      <c r="N647" s="157"/>
    </row>
    <row r="648" spans="2:16" x14ac:dyDescent="0.25">
      <c r="B648" t="s">
        <v>442</v>
      </c>
      <c r="C648" t="b">
        <f t="shared" ref="C648:M648" si="730">C613&lt;C615</f>
        <v>0</v>
      </c>
      <c r="D648" t="b">
        <f t="shared" si="730"/>
        <v>0</v>
      </c>
      <c r="E648" t="b">
        <f t="shared" si="730"/>
        <v>0</v>
      </c>
      <c r="F648" t="b">
        <f t="shared" si="730"/>
        <v>0</v>
      </c>
      <c r="G648" t="b">
        <f t="shared" si="730"/>
        <v>0</v>
      </c>
      <c r="H648" t="b">
        <f t="shared" si="730"/>
        <v>0</v>
      </c>
      <c r="I648" t="b">
        <f t="shared" si="730"/>
        <v>0</v>
      </c>
      <c r="J648" t="b">
        <f t="shared" si="730"/>
        <v>0</v>
      </c>
      <c r="K648" t="b">
        <f t="shared" si="730"/>
        <v>0</v>
      </c>
      <c r="L648" t="b">
        <f t="shared" si="730"/>
        <v>0</v>
      </c>
      <c r="M648" t="b">
        <f t="shared" si="730"/>
        <v>0</v>
      </c>
      <c r="N648" s="157"/>
      <c r="O648" t="s">
        <v>239</v>
      </c>
    </row>
    <row r="649" spans="2:16" x14ac:dyDescent="0.25">
      <c r="B649" t="s">
        <v>443</v>
      </c>
      <c r="C649" t="b">
        <f t="shared" ref="C649:M649" si="731">C614&lt;C615</f>
        <v>0</v>
      </c>
      <c r="D649" t="b">
        <f t="shared" si="731"/>
        <v>0</v>
      </c>
      <c r="E649" t="b">
        <f t="shared" si="731"/>
        <v>0</v>
      </c>
      <c r="F649" t="b">
        <f t="shared" si="731"/>
        <v>0</v>
      </c>
      <c r="G649" t="b">
        <f t="shared" si="731"/>
        <v>0</v>
      </c>
      <c r="H649" t="b">
        <f t="shared" si="731"/>
        <v>0</v>
      </c>
      <c r="I649" t="b">
        <f t="shared" si="731"/>
        <v>0</v>
      </c>
      <c r="J649" t="b">
        <f t="shared" si="731"/>
        <v>0</v>
      </c>
      <c r="K649" t="b">
        <f t="shared" si="731"/>
        <v>0</v>
      </c>
      <c r="L649" t="b">
        <f t="shared" si="731"/>
        <v>0</v>
      </c>
      <c r="M649" t="b">
        <f t="shared" si="731"/>
        <v>0</v>
      </c>
      <c r="N649" s="157" t="b">
        <f>OR(C648:M649)</f>
        <v>0</v>
      </c>
      <c r="O649" t="s">
        <v>449</v>
      </c>
      <c r="P649" t="str">
        <f>IF(N649,"","")</f>
        <v/>
      </c>
    </row>
    <row r="650" spans="2:16" x14ac:dyDescent="0.25">
      <c r="B650" t="s">
        <v>444</v>
      </c>
      <c r="C650" t="b">
        <f t="shared" ref="C650:M650" si="732">C615&gt;C614</f>
        <v>0</v>
      </c>
      <c r="D650" t="b">
        <f t="shared" si="732"/>
        <v>0</v>
      </c>
      <c r="E650" t="b">
        <f t="shared" si="732"/>
        <v>0</v>
      </c>
      <c r="F650" t="b">
        <f t="shared" si="732"/>
        <v>0</v>
      </c>
      <c r="G650" t="b">
        <f t="shared" si="732"/>
        <v>0</v>
      </c>
      <c r="H650" t="b">
        <f t="shared" si="732"/>
        <v>0</v>
      </c>
      <c r="I650" t="b">
        <f t="shared" si="732"/>
        <v>0</v>
      </c>
      <c r="J650" t="b">
        <f t="shared" si="732"/>
        <v>0</v>
      </c>
      <c r="K650" t="b">
        <f t="shared" si="732"/>
        <v>0</v>
      </c>
      <c r="L650" t="b">
        <f t="shared" si="732"/>
        <v>0</v>
      </c>
      <c r="M650" t="b">
        <f t="shared" si="732"/>
        <v>0</v>
      </c>
      <c r="N650" s="157" t="b">
        <f>OR(C650:M650)</f>
        <v>0</v>
      </c>
      <c r="O650" t="s">
        <v>450</v>
      </c>
    </row>
    <row r="651" spans="2:16" x14ac:dyDescent="0.25">
      <c r="N651" s="157"/>
    </row>
    <row r="652" spans="2:16" x14ac:dyDescent="0.25">
      <c r="B652" t="s">
        <v>445</v>
      </c>
      <c r="C652" t="b">
        <f t="shared" ref="C652:M652" ca="1" si="733">OR($C$405&gt;C613,C613="-")</f>
        <v>0</v>
      </c>
      <c r="D652" t="b">
        <f t="shared" ca="1" si="733"/>
        <v>0</v>
      </c>
      <c r="E652" t="b">
        <f t="shared" ca="1" si="733"/>
        <v>0</v>
      </c>
      <c r="F652" t="b">
        <f t="shared" ca="1" si="733"/>
        <v>0</v>
      </c>
      <c r="G652" t="b">
        <f t="shared" ca="1" si="733"/>
        <v>0</v>
      </c>
      <c r="H652" t="b">
        <f t="shared" ca="1" si="733"/>
        <v>0</v>
      </c>
      <c r="I652" t="b">
        <f t="shared" ca="1" si="733"/>
        <v>0</v>
      </c>
      <c r="J652" t="b">
        <f t="shared" ca="1" si="733"/>
        <v>0</v>
      </c>
      <c r="K652" t="b">
        <f t="shared" ca="1" si="733"/>
        <v>0</v>
      </c>
      <c r="L652" t="b">
        <f t="shared" ca="1" si="733"/>
        <v>0</v>
      </c>
      <c r="M652" t="b">
        <f t="shared" ca="1" si="733"/>
        <v>0</v>
      </c>
      <c r="N652" s="157"/>
    </row>
    <row r="653" spans="2:16" x14ac:dyDescent="0.25">
      <c r="B653" t="s">
        <v>446</v>
      </c>
      <c r="C653" t="b">
        <f t="shared" ref="C653:M653" ca="1" si="734">OR($C$405&gt;C614,C614="-")</f>
        <v>0</v>
      </c>
      <c r="D653" t="b">
        <f t="shared" ca="1" si="734"/>
        <v>0</v>
      </c>
      <c r="E653" t="b">
        <f t="shared" ca="1" si="734"/>
        <v>0</v>
      </c>
      <c r="F653" t="b">
        <f t="shared" ca="1" si="734"/>
        <v>0</v>
      </c>
      <c r="G653" t="b">
        <f t="shared" ca="1" si="734"/>
        <v>0</v>
      </c>
      <c r="H653" t="b">
        <f t="shared" ca="1" si="734"/>
        <v>0</v>
      </c>
      <c r="I653" t="b">
        <f t="shared" ca="1" si="734"/>
        <v>0</v>
      </c>
      <c r="J653" t="b">
        <f t="shared" ca="1" si="734"/>
        <v>0</v>
      </c>
      <c r="K653" t="b">
        <f t="shared" ca="1" si="734"/>
        <v>0</v>
      </c>
      <c r="L653" t="b">
        <f t="shared" ca="1" si="734"/>
        <v>0</v>
      </c>
      <c r="M653" t="b">
        <f t="shared" ca="1" si="734"/>
        <v>0</v>
      </c>
      <c r="N653" s="157"/>
    </row>
    <row r="654" spans="2:16" x14ac:dyDescent="0.25">
      <c r="B654" t="s">
        <v>447</v>
      </c>
      <c r="C654" t="b">
        <f t="shared" ref="C654:M654" ca="1" si="735">OR($C$405&lt;C615,"-")</f>
        <v>0</v>
      </c>
      <c r="D654" t="b">
        <f t="shared" ca="1" si="735"/>
        <v>0</v>
      </c>
      <c r="E654" t="b">
        <f t="shared" ca="1" si="735"/>
        <v>0</v>
      </c>
      <c r="F654" t="b">
        <f t="shared" ca="1" si="735"/>
        <v>0</v>
      </c>
      <c r="G654" t="b">
        <f t="shared" ca="1" si="735"/>
        <v>0</v>
      </c>
      <c r="H654" t="b">
        <f t="shared" ca="1" si="735"/>
        <v>0</v>
      </c>
      <c r="I654" t="b">
        <f t="shared" ca="1" si="735"/>
        <v>0</v>
      </c>
      <c r="J654" t="b">
        <f t="shared" ca="1" si="735"/>
        <v>0</v>
      </c>
      <c r="K654" t="b">
        <f t="shared" ca="1" si="735"/>
        <v>0</v>
      </c>
      <c r="L654" t="b">
        <f t="shared" ca="1" si="735"/>
        <v>0</v>
      </c>
      <c r="M654" t="b">
        <f t="shared" ca="1" si="735"/>
        <v>0</v>
      </c>
      <c r="N654" s="157"/>
    </row>
    <row r="655" spans="2:16" x14ac:dyDescent="0.25">
      <c r="N655" s="157"/>
    </row>
    <row r="656" spans="2:16" x14ac:dyDescent="0.25">
      <c r="B656" t="s">
        <v>453</v>
      </c>
      <c r="C656" t="b">
        <f t="shared" ref="C656:M656" ca="1" si="736">AND(NOT(C645),C652)</f>
        <v>0</v>
      </c>
      <c r="D656" t="b">
        <f t="shared" ca="1" si="736"/>
        <v>0</v>
      </c>
      <c r="E656" t="b">
        <f t="shared" ca="1" si="736"/>
        <v>0</v>
      </c>
      <c r="F656" t="b">
        <f t="shared" ca="1" si="736"/>
        <v>0</v>
      </c>
      <c r="G656" t="b">
        <f t="shared" ca="1" si="736"/>
        <v>0</v>
      </c>
      <c r="H656" t="b">
        <f t="shared" ca="1" si="736"/>
        <v>0</v>
      </c>
      <c r="I656" t="b">
        <f t="shared" ca="1" si="736"/>
        <v>0</v>
      </c>
      <c r="J656" t="b">
        <f t="shared" ca="1" si="736"/>
        <v>0</v>
      </c>
      <c r="K656" t="b">
        <f t="shared" ca="1" si="736"/>
        <v>0</v>
      </c>
      <c r="L656" t="b">
        <f t="shared" ca="1" si="736"/>
        <v>0</v>
      </c>
      <c r="M656" t="b">
        <f t="shared" ca="1" si="736"/>
        <v>0</v>
      </c>
      <c r="N656" s="157" t="b">
        <f ca="1">OR(C656:M656)</f>
        <v>0</v>
      </c>
      <c r="O656" t="s">
        <v>236</v>
      </c>
    </row>
    <row r="657" spans="2:15" x14ac:dyDescent="0.25">
      <c r="B657" t="s">
        <v>454</v>
      </c>
      <c r="C657" t="b">
        <f t="shared" ref="C657:M657" ca="1" si="737">AND(NOT(C645),C653)</f>
        <v>0</v>
      </c>
      <c r="D657" t="b">
        <f t="shared" ca="1" si="737"/>
        <v>0</v>
      </c>
      <c r="E657" t="b">
        <f t="shared" ca="1" si="737"/>
        <v>0</v>
      </c>
      <c r="F657" t="b">
        <f t="shared" ca="1" si="737"/>
        <v>0</v>
      </c>
      <c r="G657" t="b">
        <f t="shared" ca="1" si="737"/>
        <v>0</v>
      </c>
      <c r="H657" t="b">
        <f t="shared" ca="1" si="737"/>
        <v>0</v>
      </c>
      <c r="I657" t="b">
        <f t="shared" ca="1" si="737"/>
        <v>0</v>
      </c>
      <c r="J657" t="b">
        <f t="shared" ca="1" si="737"/>
        <v>0</v>
      </c>
      <c r="K657" t="b">
        <f t="shared" ca="1" si="737"/>
        <v>0</v>
      </c>
      <c r="L657" t="b">
        <f t="shared" ca="1" si="737"/>
        <v>0</v>
      </c>
      <c r="M657" t="b">
        <f t="shared" ca="1" si="737"/>
        <v>0</v>
      </c>
      <c r="N657" s="157" t="b">
        <f ca="1">OR(C657:M657)</f>
        <v>0</v>
      </c>
      <c r="O657" t="s">
        <v>451</v>
      </c>
    </row>
    <row r="658" spans="2:15" x14ac:dyDescent="0.25">
      <c r="B658" t="s">
        <v>455</v>
      </c>
      <c r="C658" t="b">
        <f t="shared" ref="C658:M658" ca="1" si="738">AND(NOT(C645),C654)</f>
        <v>0</v>
      </c>
      <c r="D658" t="b">
        <f t="shared" ca="1" si="738"/>
        <v>0</v>
      </c>
      <c r="E658" t="b">
        <f t="shared" ca="1" si="738"/>
        <v>0</v>
      </c>
      <c r="F658" t="b">
        <f t="shared" ca="1" si="738"/>
        <v>0</v>
      </c>
      <c r="G658" t="b">
        <f t="shared" ca="1" si="738"/>
        <v>0</v>
      </c>
      <c r="H658" t="b">
        <f t="shared" ca="1" si="738"/>
        <v>0</v>
      </c>
      <c r="I658" t="b">
        <f t="shared" ca="1" si="738"/>
        <v>0</v>
      </c>
      <c r="J658" t="b">
        <f t="shared" ca="1" si="738"/>
        <v>0</v>
      </c>
      <c r="K658" t="b">
        <f t="shared" ca="1" si="738"/>
        <v>0</v>
      </c>
      <c r="L658" t="b">
        <f t="shared" ca="1" si="738"/>
        <v>0</v>
      </c>
      <c r="M658" t="b">
        <f t="shared" ca="1" si="738"/>
        <v>0</v>
      </c>
      <c r="N658" s="157" t="b">
        <f ca="1">OR(C658:M658)</f>
        <v>0</v>
      </c>
      <c r="O658" t="s">
        <v>452</v>
      </c>
    </row>
    <row r="660" spans="2:15" x14ac:dyDescent="0.25">
      <c r="B660" t="s">
        <v>611</v>
      </c>
      <c r="C660">
        <f>IF(C624&lt;=$C$16+7.4,0,IF(C624&gt;$C$16+8.66,2,1))</f>
        <v>2</v>
      </c>
      <c r="D660">
        <f t="shared" ref="D660:M660" si="739">IF(D624&lt;=$C$16+7.4,0,IF(D624&gt;$C$16+8.66,2,1))</f>
        <v>2</v>
      </c>
      <c r="E660">
        <f t="shared" si="739"/>
        <v>2</v>
      </c>
      <c r="F660">
        <f t="shared" si="739"/>
        <v>2</v>
      </c>
      <c r="G660">
        <f t="shared" si="739"/>
        <v>2</v>
      </c>
      <c r="H660">
        <f t="shared" si="739"/>
        <v>2</v>
      </c>
      <c r="I660">
        <f t="shared" si="739"/>
        <v>2</v>
      </c>
      <c r="J660">
        <f t="shared" si="739"/>
        <v>2</v>
      </c>
      <c r="K660">
        <f t="shared" si="739"/>
        <v>2</v>
      </c>
      <c r="L660">
        <f t="shared" si="739"/>
        <v>2</v>
      </c>
      <c r="M660">
        <f t="shared" si="739"/>
        <v>2</v>
      </c>
      <c r="O660" t="s">
        <v>545</v>
      </c>
    </row>
    <row r="661" spans="2:15" x14ac:dyDescent="0.25">
      <c r="B661" t="s">
        <v>20</v>
      </c>
      <c r="C661">
        <f t="shared" ref="C661:M661" ca="1" si="740">IF(C625&lt;=45,0,IF(C625&gt;50,2,1))</f>
        <v>0</v>
      </c>
      <c r="D661">
        <f t="shared" ca="1" si="740"/>
        <v>0</v>
      </c>
      <c r="E661">
        <f t="shared" ca="1" si="740"/>
        <v>0</v>
      </c>
      <c r="F661">
        <f t="shared" ca="1" si="740"/>
        <v>0</v>
      </c>
      <c r="G661">
        <f t="shared" ca="1" si="740"/>
        <v>0</v>
      </c>
      <c r="H661">
        <f t="shared" ca="1" si="740"/>
        <v>0</v>
      </c>
      <c r="I661">
        <f t="shared" ca="1" si="740"/>
        <v>0</v>
      </c>
      <c r="J661">
        <f t="shared" ca="1" si="740"/>
        <v>2</v>
      </c>
      <c r="K661">
        <f t="shared" ca="1" si="740"/>
        <v>2</v>
      </c>
      <c r="L661">
        <f t="shared" ca="1" si="740"/>
        <v>2</v>
      </c>
      <c r="M661">
        <f t="shared" ca="1" si="740"/>
        <v>2</v>
      </c>
      <c r="O661" t="s">
        <v>545</v>
      </c>
    </row>
    <row r="663" spans="2:15" x14ac:dyDescent="0.25">
      <c r="B663" t="s">
        <v>612</v>
      </c>
      <c r="C663">
        <f>IF(C629&lt;=$C$16+7.4,0,IF(C629&gt;$C$16+8.66,2,1))</f>
        <v>2</v>
      </c>
      <c r="D663">
        <f t="shared" ref="D663:M663" si="741">IF(D629&lt;=$C$16+7.4,0,IF(D629&gt;$C$16+8.66,2,1))</f>
        <v>2</v>
      </c>
      <c r="E663">
        <f t="shared" si="741"/>
        <v>2</v>
      </c>
      <c r="F663">
        <f t="shared" si="741"/>
        <v>2</v>
      </c>
      <c r="G663">
        <f t="shared" si="741"/>
        <v>2</v>
      </c>
      <c r="H663">
        <f t="shared" si="741"/>
        <v>2</v>
      </c>
      <c r="I663">
        <f t="shared" si="741"/>
        <v>2</v>
      </c>
      <c r="J663">
        <f t="shared" si="741"/>
        <v>2</v>
      </c>
      <c r="K663">
        <f t="shared" si="741"/>
        <v>2</v>
      </c>
      <c r="L663">
        <f t="shared" si="741"/>
        <v>2</v>
      </c>
      <c r="M663">
        <f t="shared" si="741"/>
        <v>2</v>
      </c>
      <c r="O663" t="s">
        <v>545</v>
      </c>
    </row>
    <row r="664" spans="2:15" x14ac:dyDescent="0.25">
      <c r="B664" t="s">
        <v>20</v>
      </c>
      <c r="C664">
        <f t="shared" ref="C664:M664" ca="1" si="742">IF(C630&lt;=45,0,IF(C630&gt;50,2,1))</f>
        <v>0</v>
      </c>
      <c r="D664">
        <f t="shared" ca="1" si="742"/>
        <v>0</v>
      </c>
      <c r="E664">
        <f t="shared" ca="1" si="742"/>
        <v>0</v>
      </c>
      <c r="F664">
        <f t="shared" ca="1" si="742"/>
        <v>0</v>
      </c>
      <c r="G664">
        <f t="shared" ca="1" si="742"/>
        <v>0</v>
      </c>
      <c r="H664">
        <f t="shared" ca="1" si="742"/>
        <v>0</v>
      </c>
      <c r="I664">
        <f t="shared" ca="1" si="742"/>
        <v>0</v>
      </c>
      <c r="J664">
        <f t="shared" ca="1" si="742"/>
        <v>2</v>
      </c>
      <c r="K664">
        <f t="shared" ca="1" si="742"/>
        <v>2</v>
      </c>
      <c r="L664">
        <f t="shared" ca="1" si="742"/>
        <v>2</v>
      </c>
      <c r="M664">
        <f t="shared" ca="1" si="742"/>
        <v>2</v>
      </c>
      <c r="O664" t="s">
        <v>545</v>
      </c>
    </row>
    <row r="666" spans="2:15" x14ac:dyDescent="0.25">
      <c r="B666" t="s">
        <v>644</v>
      </c>
      <c r="C666">
        <f>IF(C634&lt;=$C$16+7.4,0,IF(C634&gt;$C$16+8.66,2,1))</f>
        <v>2</v>
      </c>
      <c r="D666">
        <f t="shared" ref="D666:M666" si="743">IF(D634&lt;=$C$16+7.4,0,IF(D634&gt;$C$16+8.66,2,1))</f>
        <v>2</v>
      </c>
      <c r="E666">
        <f t="shared" si="743"/>
        <v>2</v>
      </c>
      <c r="F666">
        <f t="shared" si="743"/>
        <v>2</v>
      </c>
      <c r="G666">
        <f t="shared" si="743"/>
        <v>2</v>
      </c>
      <c r="H666">
        <f t="shared" si="743"/>
        <v>2</v>
      </c>
      <c r="I666">
        <f t="shared" si="743"/>
        <v>2</v>
      </c>
      <c r="J666">
        <f t="shared" si="743"/>
        <v>2</v>
      </c>
      <c r="K666">
        <f t="shared" si="743"/>
        <v>2</v>
      </c>
      <c r="L666">
        <f t="shared" si="743"/>
        <v>2</v>
      </c>
      <c r="M666">
        <f t="shared" si="743"/>
        <v>2</v>
      </c>
      <c r="O666" t="s">
        <v>545</v>
      </c>
    </row>
    <row r="667" spans="2:15" x14ac:dyDescent="0.25">
      <c r="B667" t="s">
        <v>20</v>
      </c>
      <c r="C667">
        <f t="shared" ref="C667:M667" ca="1" si="744">IF(C635&lt;=45,0,IF(C635&gt;50,2,1))</f>
        <v>1</v>
      </c>
      <c r="D667">
        <f t="shared" ca="1" si="744"/>
        <v>1</v>
      </c>
      <c r="E667">
        <f t="shared" ca="1" si="744"/>
        <v>1</v>
      </c>
      <c r="F667">
        <f t="shared" ca="1" si="744"/>
        <v>1</v>
      </c>
      <c r="G667">
        <f t="shared" ca="1" si="744"/>
        <v>0</v>
      </c>
      <c r="H667">
        <f t="shared" ca="1" si="744"/>
        <v>0</v>
      </c>
      <c r="I667">
        <f t="shared" ca="1" si="744"/>
        <v>0</v>
      </c>
      <c r="J667">
        <f t="shared" ca="1" si="744"/>
        <v>2</v>
      </c>
      <c r="K667">
        <f t="shared" ca="1" si="744"/>
        <v>2</v>
      </c>
      <c r="L667">
        <f t="shared" ca="1" si="744"/>
        <v>2</v>
      </c>
      <c r="M667">
        <f t="shared" ca="1" si="744"/>
        <v>2</v>
      </c>
      <c r="O667" t="s">
        <v>545</v>
      </c>
    </row>
    <row r="669" spans="2:15" x14ac:dyDescent="0.25">
      <c r="B669" t="s">
        <v>647</v>
      </c>
      <c r="D669" t="s">
        <v>658</v>
      </c>
    </row>
    <row r="670" spans="2:15" x14ac:dyDescent="0.25">
      <c r="B670" t="s">
        <v>631</v>
      </c>
      <c r="C670" t="b">
        <f ca="1">AND(NOT($C$674=B670),NOT($C$17))</f>
        <v>1</v>
      </c>
      <c r="D670" t="str">
        <f>"DN"&amp;E427</f>
        <v>DN200</v>
      </c>
      <c r="E670" t="str">
        <f ca="1">IF(C670,"",$C$673)</f>
        <v/>
      </c>
      <c r="M670" s="441"/>
    </row>
    <row r="671" spans="2:15" x14ac:dyDescent="0.25">
      <c r="B671" t="s">
        <v>632</v>
      </c>
      <c r="C671" t="b">
        <f ca="1">OR(NOT($C$674=B671),$C$17)</f>
        <v>0</v>
      </c>
      <c r="D671" t="str">
        <f>"DN"&amp;M427</f>
        <v>DN200</v>
      </c>
      <c r="E671" t="str">
        <f ca="1">IF(C671,"",$C$673)</f>
        <v>Recommended Box: H250-DN200</v>
      </c>
      <c r="M671" s="441"/>
    </row>
    <row r="672" spans="2:15" x14ac:dyDescent="0.25">
      <c r="B672" t="s">
        <v>645</v>
      </c>
      <c r="C672" t="b">
        <f ca="1">OR(NOT($C$674=B672),$C$17)</f>
        <v>1</v>
      </c>
      <c r="D672" t="str">
        <f>"DN"&amp;U427</f>
        <v>DN250</v>
      </c>
      <c r="E672" t="str">
        <f ca="1">IF(C672,"",$C$673)</f>
        <v/>
      </c>
      <c r="M672" s="441"/>
      <c r="N672" s="442"/>
    </row>
    <row r="673" spans="2:3" x14ac:dyDescent="0.25">
      <c r="B673" t="s">
        <v>657</v>
      </c>
      <c r="C673" t="str">
        <f ca="1">"Recommended Box: "&amp;B464&amp;"-"&amp;VLOOKUP(B464,$B$670:$D$672,3,0)</f>
        <v>Recommended Box: H250-DN200</v>
      </c>
    </row>
    <row r="674" spans="2:3" x14ac:dyDescent="0.25">
      <c r="B674" t="s">
        <v>529</v>
      </c>
      <c r="C674" t="str">
        <f ca="1">"H"&amp;Data!B122</f>
        <v>H250</v>
      </c>
    </row>
  </sheetData>
  <sheetProtection selectLockedCells="1" selectUnlockedCells="1"/>
  <phoneticPr fontId="64" type="noConversion"/>
  <hyperlinks>
    <hyperlink ref="Y464" r:id="rId1" xr:uid="{89ADFD68-9EA3-4DD6-9704-001043429035}"/>
    <hyperlink ref="Y469" r:id="rId2" xr:uid="{844587A7-EFBA-4B0E-BB36-C836429A4DD5}"/>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9"/>
  </sheetPr>
  <dimension ref="A1:P1024"/>
  <sheetViews>
    <sheetView topLeftCell="A67" zoomScaleNormal="100" workbookViewId="0">
      <selection activeCell="B79" sqref="B79"/>
    </sheetView>
  </sheetViews>
  <sheetFormatPr defaultRowHeight="15" x14ac:dyDescent="0.25"/>
  <cols>
    <col min="1" max="1" width="27.7109375" customWidth="1"/>
    <col min="2" max="2" width="24.28515625" customWidth="1"/>
    <col min="3" max="3" width="29.5703125" customWidth="1"/>
    <col min="4" max="4" width="35.140625" customWidth="1"/>
    <col min="5" max="5" width="32.7109375" customWidth="1"/>
    <col min="6" max="6" width="27.85546875" customWidth="1"/>
    <col min="7" max="7" width="22.7109375" customWidth="1"/>
    <col min="8" max="8" width="13.5703125" customWidth="1"/>
    <col min="9" max="9" width="20.5703125" customWidth="1"/>
    <col min="10" max="10" width="19.140625" customWidth="1"/>
    <col min="11" max="11" width="11.5703125" bestFit="1" customWidth="1"/>
    <col min="12" max="12" width="11.28515625" bestFit="1" customWidth="1"/>
    <col min="13" max="13" width="12.28515625" bestFit="1" customWidth="1"/>
    <col min="14" max="14" width="20.140625" bestFit="1" customWidth="1"/>
    <col min="15" max="15" width="15" bestFit="1" customWidth="1"/>
    <col min="16" max="16" width="12.42578125" bestFit="1" customWidth="1"/>
    <col min="17" max="18" width="11.28515625" bestFit="1" customWidth="1"/>
  </cols>
  <sheetData>
    <row r="1" spans="1:3" x14ac:dyDescent="0.25">
      <c r="A1" s="1" t="s">
        <v>1</v>
      </c>
      <c r="B1" s="356" t="s">
        <v>683</v>
      </c>
    </row>
    <row r="2" spans="1:3" x14ac:dyDescent="0.25">
      <c r="A2" t="s">
        <v>2</v>
      </c>
    </row>
    <row r="3" spans="1:3" x14ac:dyDescent="0.25">
      <c r="A3" t="s">
        <v>3</v>
      </c>
    </row>
    <row r="4" spans="1:3" x14ac:dyDescent="0.25">
      <c r="A4" t="s">
        <v>4</v>
      </c>
    </row>
    <row r="6" spans="1:3" x14ac:dyDescent="0.25">
      <c r="A6" s="1" t="s">
        <v>788</v>
      </c>
      <c r="B6" s="9">
        <f ca="1">MAX(0,10-COUNTIF(Equations!C605:M605,"-"))</f>
        <v>5</v>
      </c>
      <c r="C6" s="47" t="str">
        <f ca="1">"D"&amp;B6</f>
        <v>D5</v>
      </c>
    </row>
    <row r="7" spans="1:3" x14ac:dyDescent="0.25">
      <c r="A7" s="1"/>
      <c r="B7" s="9"/>
      <c r="C7" s="47"/>
    </row>
    <row r="8" spans="1:3" x14ac:dyDescent="0.25">
      <c r="A8" s="1" t="s">
        <v>433</v>
      </c>
    </row>
    <row r="9" spans="1:3" x14ac:dyDescent="0.25">
      <c r="A9" t="s">
        <v>1016</v>
      </c>
      <c r="B9" t="str">
        <f>"max " &amp;Equations!C6&amp;" "&amp;Equations!E3</f>
        <v>max 250 L/s</v>
      </c>
    </row>
    <row r="10" spans="1:3" x14ac:dyDescent="0.25">
      <c r="A10" t="s">
        <v>546</v>
      </c>
      <c r="B10" t="str">
        <f ca="1">"Comfort criteria for specific flowrate of "&amp;B304&amp;" (average diffuser spacing of "&amp;ROUND(Equations!C405,1) &amp; " m) "&amp; "&amp; room temperature of "&amp; Equations!C27&amp;"°C"</f>
        <v>Comfort criteria for specific flowrate of 2.9 L/s/m² (average diffuser spacing of 5.9 m) &amp; room temperature of 23°C</v>
      </c>
    </row>
    <row r="11" spans="1:3" x14ac:dyDescent="0.25">
      <c r="B11" t="str">
        <f ca="1">"* Values valid for diffuser with 250mm high box and recommended " &amp; $C$251 &amp; " mm spigot"</f>
        <v>* Values valid for diffuser with 250mm high box and recommended 50.7 mm spigot</v>
      </c>
    </row>
    <row r="12" spans="1:3" x14ac:dyDescent="0.25">
      <c r="B12" t="str">
        <f ca="1">E122</f>
        <v>250 mm high box (default based on flow rate)</v>
      </c>
    </row>
    <row r="13" spans="1:3" x14ac:dyDescent="0.25">
      <c r="B13" t="str">
        <f ca="1">F150</f>
        <v>DN200 mm (default)</v>
      </c>
    </row>
    <row r="14" spans="1:3" x14ac:dyDescent="0.25">
      <c r="A14" t="s">
        <v>842</v>
      </c>
      <c r="B14" t="str">
        <f xml:space="preserve"> 'HSC-VS'!M9 &amp; " selected in cell M9. Shipped door setting is 4-way; adjustable on site to 2-way or 3-way"</f>
        <v>4 Way (360°) selected in cell M9. Shipped door setting is 4-way; adjustable on site to 2-way or 3-way</v>
      </c>
    </row>
    <row r="16" spans="1:3" x14ac:dyDescent="0.25">
      <c r="A16" t="s">
        <v>342</v>
      </c>
      <c r="B16" t="str">
        <f>"¹ Motorised pressure control damper - static pressure controlled to ≤ " &amp;Equations!C36&amp;" Pa"</f>
        <v>¹ Motorised pressure control damper - static pressure controlled to ≤ 50 Pa</v>
      </c>
    </row>
    <row r="18" spans="1:7" x14ac:dyDescent="0.25">
      <c r="A18" t="s">
        <v>1022</v>
      </c>
      <c r="B18" t="str">
        <f>IF(Equations!$C$16&gt;=80,"Recommendation: ","")</f>
        <v/>
      </c>
    </row>
    <row r="19" spans="1:7" x14ac:dyDescent="0.25">
      <c r="B19" t="str">
        <f>IF(Equations!$C$16&gt;=80,Data!D19,"")</f>
        <v/>
      </c>
      <c r="C19" t="s">
        <v>856</v>
      </c>
      <c r="D19" t="s">
        <v>855</v>
      </c>
    </row>
    <row r="20" spans="1:7" x14ac:dyDescent="0.25">
      <c r="B20" t="str">
        <f>IF(Equations!C17,D20,Data!C20)</f>
        <v>Motorised Pressure Control Damper (DMPC)</v>
      </c>
      <c r="C20" t="s">
        <v>1036</v>
      </c>
      <c r="D20" t="str">
        <f>"DMPC (max static pressure controlled to "&amp;Equations!C36&amp;" Pa)"</f>
        <v>DMPC (max static pressure controlled to 50 Pa)</v>
      </c>
    </row>
    <row r="25" spans="1:7" x14ac:dyDescent="0.25">
      <c r="A25" s="1" t="s">
        <v>23</v>
      </c>
      <c r="F25" t="str">
        <f>('HSC-VS'!M9)</f>
        <v>4 Way (360°)</v>
      </c>
    </row>
    <row r="26" spans="1:7" x14ac:dyDescent="0.25">
      <c r="A26" t="s">
        <v>130</v>
      </c>
      <c r="B26" t="s">
        <v>111</v>
      </c>
      <c r="C26" t="str">
        <f>""</f>
        <v/>
      </c>
      <c r="F26" t="s">
        <v>62</v>
      </c>
      <c r="G26" t="s">
        <v>111</v>
      </c>
    </row>
    <row r="27" spans="1:7" x14ac:dyDescent="0.25">
      <c r="A27" t="s">
        <v>131</v>
      </c>
      <c r="B27" t="s">
        <v>112</v>
      </c>
      <c r="C27" t="s">
        <v>321</v>
      </c>
      <c r="F27" t="s">
        <v>63</v>
      </c>
      <c r="G27" t="s">
        <v>112</v>
      </c>
    </row>
    <row r="28" spans="1:7" x14ac:dyDescent="0.25">
      <c r="A28" t="s">
        <v>100</v>
      </c>
      <c r="B28" t="s">
        <v>113</v>
      </c>
      <c r="C28" t="s">
        <v>323</v>
      </c>
      <c r="F28">
        <v>13</v>
      </c>
      <c r="G28" t="s">
        <v>113</v>
      </c>
    </row>
    <row r="29" spans="1:7" x14ac:dyDescent="0.25">
      <c r="A29" t="s">
        <v>101</v>
      </c>
      <c r="B29" t="s">
        <v>114</v>
      </c>
      <c r="C29" t="s">
        <v>322</v>
      </c>
      <c r="F29">
        <v>14</v>
      </c>
      <c r="G29" t="s">
        <v>114</v>
      </c>
    </row>
    <row r="30" spans="1:7" x14ac:dyDescent="0.25">
      <c r="A30" t="s">
        <v>305</v>
      </c>
      <c r="B30">
        <f>Equations!C26</f>
        <v>1</v>
      </c>
      <c r="C30" t="s">
        <v>306</v>
      </c>
    </row>
    <row r="32" spans="1:7" x14ac:dyDescent="0.25">
      <c r="A32" s="1" t="s">
        <v>328</v>
      </c>
    </row>
    <row r="33" spans="1:2" x14ac:dyDescent="0.25">
      <c r="A33" s="12">
        <v>0.95</v>
      </c>
      <c r="B33" s="1"/>
    </row>
    <row r="34" spans="1:2" x14ac:dyDescent="0.25">
      <c r="A34" s="12">
        <v>0.9</v>
      </c>
      <c r="B34" s="1"/>
    </row>
    <row r="35" spans="1:2" x14ac:dyDescent="0.25">
      <c r="A35" s="12">
        <v>0.8</v>
      </c>
      <c r="B35" s="1"/>
    </row>
    <row r="36" spans="1:2" x14ac:dyDescent="0.25">
      <c r="A36" s="12">
        <v>0.7</v>
      </c>
      <c r="B36" s="1"/>
    </row>
    <row r="37" spans="1:2" x14ac:dyDescent="0.25">
      <c r="A37" s="1"/>
      <c r="B37" s="1" t="s">
        <v>97</v>
      </c>
    </row>
    <row r="38" spans="1:2" x14ac:dyDescent="0.25">
      <c r="A38" s="12">
        <v>0.95</v>
      </c>
      <c r="B38" s="10">
        <v>0.2</v>
      </c>
    </row>
    <row r="39" spans="1:2" x14ac:dyDescent="0.25">
      <c r="A39" s="12">
        <v>0.9</v>
      </c>
      <c r="B39" s="10">
        <v>0.25</v>
      </c>
    </row>
    <row r="40" spans="1:2" x14ac:dyDescent="0.25">
      <c r="A40" s="12">
        <v>0.85</v>
      </c>
      <c r="B40" s="10">
        <v>0.27</v>
      </c>
    </row>
    <row r="41" spans="1:2" x14ac:dyDescent="0.25">
      <c r="A41" s="12">
        <v>0.8</v>
      </c>
      <c r="B41" s="10">
        <v>0.28999999999999998</v>
      </c>
    </row>
    <row r="42" spans="1:2" x14ac:dyDescent="0.25">
      <c r="A42" s="12">
        <v>0.7</v>
      </c>
      <c r="B42" s="10">
        <v>0.33</v>
      </c>
    </row>
    <row r="43" spans="1:2" x14ac:dyDescent="0.25">
      <c r="A43" s="12"/>
      <c r="B43" s="10"/>
    </row>
    <row r="44" spans="1:2" x14ac:dyDescent="0.25">
      <c r="A44" s="1" t="s">
        <v>102</v>
      </c>
    </row>
    <row r="45" spans="1:2" x14ac:dyDescent="0.25">
      <c r="A45" s="1"/>
    </row>
    <row r="46" spans="1:2" x14ac:dyDescent="0.25">
      <c r="A46" s="1" t="s">
        <v>104</v>
      </c>
      <c r="B46" t="s">
        <v>3</v>
      </c>
    </row>
    <row r="47" spans="1:2" x14ac:dyDescent="0.25">
      <c r="A47" s="1"/>
    </row>
    <row r="48" spans="1:2" x14ac:dyDescent="0.25">
      <c r="A48" s="1" t="s">
        <v>496</v>
      </c>
    </row>
    <row r="49" spans="1:7" x14ac:dyDescent="0.25">
      <c r="A49" t="s">
        <v>497</v>
      </c>
      <c r="B49">
        <v>2</v>
      </c>
      <c r="E49" s="5"/>
    </row>
    <row r="51" spans="1:7" x14ac:dyDescent="0.25">
      <c r="A51" t="s">
        <v>251</v>
      </c>
    </row>
    <row r="52" spans="1:7" x14ac:dyDescent="0.25">
      <c r="A52">
        <v>0</v>
      </c>
      <c r="B52" t="s">
        <v>267</v>
      </c>
      <c r="C52" t="s">
        <v>307</v>
      </c>
    </row>
    <row r="53" spans="1:7" x14ac:dyDescent="0.25">
      <c r="A53">
        <v>1</v>
      </c>
      <c r="B53" t="s">
        <v>252</v>
      </c>
      <c r="C53" s="47" t="s">
        <v>257</v>
      </c>
      <c r="E53" s="4" t="s">
        <v>256</v>
      </c>
      <c r="F53" s="4" t="s">
        <v>258</v>
      </c>
    </row>
    <row r="54" spans="1:7" x14ac:dyDescent="0.25">
      <c r="A54">
        <v>2</v>
      </c>
      <c r="B54" t="s">
        <v>841</v>
      </c>
      <c r="C54" t="s">
        <v>308</v>
      </c>
    </row>
    <row r="55" spans="1:7" x14ac:dyDescent="0.25">
      <c r="A55">
        <v>3</v>
      </c>
      <c r="B55" t="str">
        <f>IF(B59,"&lt;face&gt;","C600")</f>
        <v>&lt;face&gt;</v>
      </c>
      <c r="C55" t="str">
        <f>IF(B59,"Invalid Selection: circular face only available for 'freely suspended' (Cell N23)", "ø 600 mm circular face")</f>
        <v>Invalid Selection: circular face only available for 'freely suspended' (Cell N23)</v>
      </c>
    </row>
    <row r="56" spans="1:7" x14ac:dyDescent="0.25">
      <c r="A56" s="303">
        <v>1</v>
      </c>
      <c r="B56" s="303" t="str">
        <f>VLOOKUP(A56,A52:C55,2,0)</f>
        <v>S595</v>
      </c>
      <c r="C56" s="346" t="str">
        <f>VLOOKUP(A56,A52:C55,3,0)</f>
        <v>□ 595 mm square face</v>
      </c>
      <c r="D56" s="303" t="s">
        <v>755</v>
      </c>
      <c r="E56" t="b">
        <f>AND(A56=3,B59)</f>
        <v>0</v>
      </c>
    </row>
    <row r="57" spans="1:7" x14ac:dyDescent="0.25">
      <c r="C57" s="47"/>
    </row>
    <row r="58" spans="1:7" x14ac:dyDescent="0.25">
      <c r="A58" s="1" t="s">
        <v>110</v>
      </c>
      <c r="B58" t="str">
        <f>VLOOKUP(F25,A26:B29,2,0)</f>
        <v>4w</v>
      </c>
      <c r="C58" t="str">
        <f>VLOOKUP(F25,A26:C29,3,0)</f>
        <v/>
      </c>
    </row>
    <row r="59" spans="1:7" x14ac:dyDescent="0.25">
      <c r="A59" s="1" t="s">
        <v>753</v>
      </c>
      <c r="B59" s="12" t="b">
        <f>NOT(Equations!$C$47)</f>
        <v>1</v>
      </c>
      <c r="C59" s="47"/>
    </row>
    <row r="60" spans="1:7" x14ac:dyDescent="0.25">
      <c r="A60" s="1" t="s">
        <v>802</v>
      </c>
      <c r="B60" s="12" t="b">
        <f>AND(Equations!$C$47,$A$56=3)</f>
        <v>0</v>
      </c>
      <c r="C60" s="47"/>
    </row>
    <row r="61" spans="1:7" x14ac:dyDescent="0.25">
      <c r="A61" s="1"/>
      <c r="B61" s="12"/>
      <c r="C61" s="47"/>
    </row>
    <row r="62" spans="1:7" x14ac:dyDescent="0.25">
      <c r="E62" s="47"/>
    </row>
    <row r="63" spans="1:7" ht="15" customHeight="1" x14ac:dyDescent="0.25">
      <c r="A63" s="1" t="s">
        <v>664</v>
      </c>
      <c r="D63" s="47"/>
      <c r="E63" t="s">
        <v>676</v>
      </c>
      <c r="F63" s="444" t="s">
        <v>688</v>
      </c>
      <c r="G63" s="211"/>
    </row>
    <row r="64" spans="1:7" ht="15" customHeight="1" x14ac:dyDescent="0.25">
      <c r="A64" t="s">
        <v>868</v>
      </c>
      <c r="B64" t="str">
        <f>IF(B67,"IAQ sensor (select one)","IAQ sensor")</f>
        <v>IAQ sensor (select one)</v>
      </c>
      <c r="D64" s="47"/>
      <c r="F64" s="444"/>
      <c r="G64" s="211"/>
    </row>
    <row r="65" spans="1:7" ht="15" customHeight="1" x14ac:dyDescent="0.25">
      <c r="B65" t="s">
        <v>420</v>
      </c>
      <c r="C65" t="s">
        <v>499</v>
      </c>
      <c r="D65" s="47" t="s">
        <v>666</v>
      </c>
      <c r="F65" s="444"/>
      <c r="G65" s="211"/>
    </row>
    <row r="66" spans="1:7" ht="15" customHeight="1" x14ac:dyDescent="0.25">
      <c r="A66">
        <v>0</v>
      </c>
      <c r="B66" s="512" t="b">
        <f>NOT(OR(B67:B68))</f>
        <v>0</v>
      </c>
      <c r="C66" t="s">
        <v>853</v>
      </c>
      <c r="D66" s="47" t="s">
        <v>672</v>
      </c>
      <c r="E66" t="str">
        <f>IF(B66,"No optional on-board sensors selected"&amp;CHAR(10),"")</f>
        <v/>
      </c>
      <c r="F66" t="str">
        <f>IF(B66,"• No optional on-board sensors selected"&amp;CHAR(10),"")</f>
        <v/>
      </c>
      <c r="G66" s="211"/>
    </row>
    <row r="67" spans="1:7" ht="15" customHeight="1" x14ac:dyDescent="0.25">
      <c r="A67">
        <v>1</v>
      </c>
      <c r="B67" t="b">
        <v>1</v>
      </c>
      <c r="C67" t="str">
        <f>IF(B67,C74,"")</f>
        <v>C</v>
      </c>
      <c r="D67" t="s">
        <v>679</v>
      </c>
      <c r="E67" t="str">
        <f>IF(B67,"• "&amp;D67&amp;" "&amp;D74&amp;CHAR(10),"")</f>
        <v xml:space="preserve">• On-board IAQ Sensor (CO₂ + RH)
</v>
      </c>
      <c r="F67" t="str">
        <f>IF(B67,"• IAQ Sensor"&amp;" "&amp;D74&amp;CHAR(10),"")</f>
        <v xml:space="preserve">• IAQ Sensor (CO₂ + RH)
</v>
      </c>
      <c r="G67" s="211"/>
    </row>
    <row r="68" spans="1:7" ht="15" customHeight="1" x14ac:dyDescent="0.25">
      <c r="A68" s="495">
        <v>2</v>
      </c>
      <c r="B68" s="495" t="b">
        <v>0</v>
      </c>
      <c r="C68" s="495" t="str">
        <f>IF(B68,"I","")</f>
        <v/>
      </c>
      <c r="D68" s="495" t="s">
        <v>680</v>
      </c>
      <c r="E68" s="141" t="str">
        <f>IF(B68,"• "&amp;D68&amp;CHAR(10),"")</f>
        <v/>
      </c>
      <c r="F68" s="141" t="str">
        <f>IF(B68,"• PIR Sensor"&amp;CHAR(10),"")</f>
        <v/>
      </c>
      <c r="G68" s="211"/>
    </row>
    <row r="69" spans="1:7" ht="78.75" customHeight="1" x14ac:dyDescent="0.25">
      <c r="B69" s="498"/>
      <c r="C69" t="str">
        <f>IF(B66,C66,"S"&amp;C67&amp;C68)</f>
        <v>SC</v>
      </c>
      <c r="E69" s="444" t="str">
        <f>E66&amp;E67&amp;E68</f>
        <v xml:space="preserve">• On-board IAQ Sensor (CO₂ + RH)
</v>
      </c>
      <c r="F69" s="444" t="str">
        <f>"Optional On-board sensors"&amp;CHAR(10)&amp;F66&amp;F67&amp;F68</f>
        <v xml:space="preserve">Optional On-board sensors
• IAQ Sensor (CO₂ + RH)
</v>
      </c>
      <c r="G69" s="211"/>
    </row>
    <row r="70" spans="1:7" ht="15" customHeight="1" x14ac:dyDescent="0.25">
      <c r="B70" s="160" t="s">
        <v>506</v>
      </c>
      <c r="F70" s="444"/>
      <c r="G70" s="211"/>
    </row>
    <row r="71" spans="1:7" x14ac:dyDescent="0.25">
      <c r="B71" s="157" t="s">
        <v>420</v>
      </c>
      <c r="C71" t="s">
        <v>499</v>
      </c>
      <c r="D71" t="s">
        <v>155</v>
      </c>
    </row>
    <row r="72" spans="1:7" x14ac:dyDescent="0.25">
      <c r="B72" s="157">
        <v>1</v>
      </c>
      <c r="C72" t="s">
        <v>96</v>
      </c>
      <c r="D72" s="47" t="s">
        <v>678</v>
      </c>
    </row>
    <row r="73" spans="1:7" x14ac:dyDescent="0.25">
      <c r="B73" s="157">
        <v>2</v>
      </c>
      <c r="C73" t="s">
        <v>97</v>
      </c>
      <c r="D73" s="47" t="s">
        <v>677</v>
      </c>
    </row>
    <row r="74" spans="1:7" ht="27.75" customHeight="1" x14ac:dyDescent="0.25">
      <c r="B74" s="499">
        <v>1</v>
      </c>
      <c r="C74" s="303" t="str">
        <f>VLOOKUP(B74,B72:D73,2,0)</f>
        <v>C</v>
      </c>
      <c r="D74" s="346" t="str">
        <f>VLOOKUP(B74,B72:D73,3,0)</f>
        <v>(CO₂ + RH)</v>
      </c>
    </row>
    <row r="75" spans="1:7" ht="27.75" customHeight="1" x14ac:dyDescent="0.25">
      <c r="D75" s="47"/>
    </row>
    <row r="76" spans="1:7" ht="64.5" customHeight="1" x14ac:dyDescent="0.25"/>
    <row r="77" spans="1:7" ht="15" customHeight="1" x14ac:dyDescent="0.25">
      <c r="A77" s="1" t="s">
        <v>621</v>
      </c>
      <c r="D77" s="47"/>
      <c r="F77" s="444"/>
      <c r="G77" s="211"/>
    </row>
    <row r="78" spans="1:7" ht="15" customHeight="1" x14ac:dyDescent="0.25">
      <c r="A78" t="s">
        <v>869</v>
      </c>
      <c r="B78" t="str">
        <f>IF(A83=3, "Touch Screen Wall-Stat with Room Temp (Available mid-2026)", "Touch Screen Wall-Stat with Room Temp (Available mid-2026)")</f>
        <v>Touch Screen Wall-Stat with Room Temp (Available mid-2026)</v>
      </c>
      <c r="D78" s="47"/>
      <c r="F78" s="444"/>
      <c r="G78" s="211"/>
    </row>
    <row r="79" spans="1:7" ht="15" customHeight="1" x14ac:dyDescent="0.25">
      <c r="A79" t="s">
        <v>420</v>
      </c>
      <c r="B79" t="s">
        <v>499</v>
      </c>
      <c r="C79" t="s">
        <v>155</v>
      </c>
      <c r="D79" s="47"/>
      <c r="F79" s="444"/>
      <c r="G79" s="211"/>
    </row>
    <row r="80" spans="1:7" ht="15" customHeight="1" x14ac:dyDescent="0.25">
      <c r="A80">
        <v>1</v>
      </c>
      <c r="B80" t="s">
        <v>670</v>
      </c>
      <c r="C80" t="s">
        <v>671</v>
      </c>
      <c r="D80" t="str">
        <f>"• No wall stat selected"&amp;CHAR(10)</f>
        <v xml:space="preserve">• No wall stat selected
</v>
      </c>
      <c r="F80" s="444"/>
      <c r="G80" s="211"/>
    </row>
    <row r="81" spans="1:8" ht="15" customHeight="1" x14ac:dyDescent="0.25">
      <c r="A81">
        <v>2</v>
      </c>
      <c r="B81" t="s">
        <v>667</v>
      </c>
      <c r="C81" t="s">
        <v>914</v>
      </c>
      <c r="D81" t="str">
        <f>"• "&amp;C81&amp;CHAR(10)</f>
        <v xml:space="preserve">• Push button Wall-Stat
</v>
      </c>
      <c r="F81" s="444"/>
      <c r="G81" s="211"/>
    </row>
    <row r="82" spans="1:8" ht="15" customHeight="1" x14ac:dyDescent="0.25">
      <c r="A82" s="496">
        <v>3</v>
      </c>
      <c r="B82" s="495" t="str">
        <f>"WT"&amp;D89</f>
        <v>WT</v>
      </c>
      <c r="C82" s="495" t="s">
        <v>915</v>
      </c>
      <c r="D82" t="str">
        <f>"• "&amp;C82&amp;CHAR(10)</f>
        <v xml:space="preserve">• Touch Screen Wall-Stat
</v>
      </c>
      <c r="F82" s="444"/>
      <c r="G82" s="211"/>
    </row>
    <row r="83" spans="1:8" ht="96.75" customHeight="1" x14ac:dyDescent="0.25">
      <c r="A83" s="497">
        <v>1</v>
      </c>
      <c r="B83" s="497" t="str" cm="1">
        <f t="array" ref="B83:D83">VLOOKUP(A83,A80:D82,{2,3,4},0)</f>
        <v>W0</v>
      </c>
      <c r="C83" s="497" t="str">
        <v>No Wall-Stat</v>
      </c>
      <c r="D83" s="506" t="str">
        <v xml:space="preserve">• No wall stat selected
</v>
      </c>
      <c r="E83" s="444" t="str">
        <f>IF(A83=3,F89,D83)</f>
        <v xml:space="preserve">• No wall stat selected
</v>
      </c>
      <c r="F83" s="444"/>
      <c r="G83" s="211"/>
    </row>
    <row r="84" spans="1:8" ht="15" customHeight="1" x14ac:dyDescent="0.25">
      <c r="B84" s="160" t="s">
        <v>665</v>
      </c>
      <c r="E84" s="47"/>
      <c r="G84" s="444"/>
      <c r="H84" s="211"/>
    </row>
    <row r="85" spans="1:8" ht="15" customHeight="1" x14ac:dyDescent="0.25">
      <c r="B85" s="157"/>
      <c r="C85" t="s">
        <v>420</v>
      </c>
      <c r="D85" t="s">
        <v>499</v>
      </c>
      <c r="E85" t="s">
        <v>155</v>
      </c>
      <c r="F85" t="str">
        <f>"     • Room Temp"&amp;CHAR(10)</f>
        <v xml:space="preserve">     • Room Temp
</v>
      </c>
      <c r="G85" s="444"/>
      <c r="H85" s="211"/>
    </row>
    <row r="86" spans="1:8" ht="15" customHeight="1" x14ac:dyDescent="0.25">
      <c r="B86" s="157">
        <v>1</v>
      </c>
      <c r="C86" t="b">
        <v>0</v>
      </c>
      <c r="D86" t="str">
        <f>IF(C86,"C","")</f>
        <v/>
      </c>
      <c r="E86" t="s">
        <v>681</v>
      </c>
      <c r="F86" t="str">
        <f>IF(C86,"     • "&amp;E86&amp;CHAR(10),"")</f>
        <v/>
      </c>
      <c r="G86" s="444"/>
      <c r="H86" s="211"/>
    </row>
    <row r="87" spans="1:8" ht="15" customHeight="1" x14ac:dyDescent="0.25">
      <c r="B87" s="157">
        <v>2</v>
      </c>
      <c r="C87" t="b">
        <v>0</v>
      </c>
      <c r="D87" t="str">
        <f>IF(C87,"V","")</f>
        <v/>
      </c>
      <c r="E87" t="s">
        <v>504</v>
      </c>
      <c r="F87" t="str">
        <f>IF(C87,"     • "&amp;E87&amp;CHAR(10),"")</f>
        <v/>
      </c>
      <c r="G87" s="444"/>
      <c r="H87" s="211"/>
    </row>
    <row r="88" spans="1:8" ht="15" customHeight="1" x14ac:dyDescent="0.25">
      <c r="B88" s="500">
        <v>3</v>
      </c>
      <c r="C88" s="495" t="b">
        <v>0</v>
      </c>
      <c r="D88" s="495" t="str">
        <f>IF(C88,"2.5","")</f>
        <v/>
      </c>
      <c r="E88" s="495" t="s">
        <v>618</v>
      </c>
      <c r="F88" t="str">
        <f>IF(C88,"     • "&amp;E88&amp;CHAR(10),"")</f>
        <v/>
      </c>
      <c r="G88" s="444"/>
      <c r="H88" s="211"/>
    </row>
    <row r="89" spans="1:8" ht="48.75" customHeight="1" x14ac:dyDescent="0.25">
      <c r="B89" s="157"/>
      <c r="D89" s="497" t="str">
        <f>D86&amp;D87&amp;D88</f>
        <v/>
      </c>
      <c r="E89" s="47"/>
      <c r="F89" s="444" t="str">
        <f>D83&amp;F85&amp;F86&amp;F87&amp;F88</f>
        <v xml:space="preserve">• No wall stat selected
     • Room Temp
</v>
      </c>
      <c r="G89" s="444"/>
      <c r="H89" s="211"/>
    </row>
    <row r="91" spans="1:8" x14ac:dyDescent="0.25">
      <c r="A91" s="1" t="s">
        <v>105</v>
      </c>
      <c r="B91" t="str">
        <f>IF(C91=1,"RAL9003",IF(C91=2,"RAL9005","&lt;colour&gt;"))</f>
        <v>RAL9003</v>
      </c>
      <c r="C91" s="47">
        <v>1</v>
      </c>
    </row>
    <row r="92" spans="1:8" x14ac:dyDescent="0.25">
      <c r="A92" s="1" t="s">
        <v>507</v>
      </c>
      <c r="B92" t="str">
        <f>IF(C91=3,"custom colour",B91)</f>
        <v>RAL9003</v>
      </c>
      <c r="C92" s="47"/>
    </row>
    <row r="93" spans="1:8" x14ac:dyDescent="0.25">
      <c r="C93" s="47"/>
    </row>
    <row r="94" spans="1:8" x14ac:dyDescent="0.25">
      <c r="A94" s="1" t="s">
        <v>783</v>
      </c>
    </row>
    <row r="95" spans="1:8" x14ac:dyDescent="0.25">
      <c r="A95" s="1" t="s">
        <v>791</v>
      </c>
    </row>
    <row r="96" spans="1:8" x14ac:dyDescent="0.25">
      <c r="B96" t="s">
        <v>403</v>
      </c>
      <c r="C96" t="s">
        <v>499</v>
      </c>
      <c r="D96" t="s">
        <v>794</v>
      </c>
      <c r="E96" t="s">
        <v>813</v>
      </c>
      <c r="F96" t="s">
        <v>803</v>
      </c>
    </row>
    <row r="97" spans="1:16" x14ac:dyDescent="0.25">
      <c r="B97">
        <v>1</v>
      </c>
      <c r="C97" t="str">
        <f>IF($A$56=3, "C", "F")</f>
        <v>F</v>
      </c>
      <c r="D97" t="str">
        <f>VLOOKUP(C97,$F$97:$G$100,2,0)&amp;"*"</f>
        <v>Foam*</v>
      </c>
      <c r="E97" t="str">
        <f>VLOOKUP(C97,$F$97:$H$100,3,0)</f>
        <v>Foam box</v>
      </c>
      <c r="F97" t="s">
        <v>96</v>
      </c>
      <c r="G97" t="s">
        <v>839</v>
      </c>
      <c r="H97" t="s">
        <v>951</v>
      </c>
    </row>
    <row r="98" spans="1:16" x14ac:dyDescent="0.25">
      <c r="B98" s="141">
        <v>2</v>
      </c>
      <c r="C98" s="141" t="str">
        <f>IF($A$56=3, "N/A", "M")</f>
        <v>M</v>
      </c>
      <c r="D98" s="141" t="str">
        <f>VLOOKUP(C98,$F$97:$G$100,2,0)</f>
        <v>Sheetmetal</v>
      </c>
      <c r="E98" s="141" t="str">
        <f>VLOOKUP(C98,$F$97:$H$100,3,0)</f>
        <v>Sheetmetal box</v>
      </c>
      <c r="F98" t="s">
        <v>809</v>
      </c>
      <c r="G98" t="s">
        <v>805</v>
      </c>
      <c r="H98" t="s">
        <v>950</v>
      </c>
    </row>
    <row r="99" spans="1:16" x14ac:dyDescent="0.25">
      <c r="B99">
        <v>1</v>
      </c>
      <c r="C99" t="str" cm="1">
        <f t="array" ref="C99:E99">VLOOKUP(B99,B97:E98,{2,3,4},0)</f>
        <v>F</v>
      </c>
      <c r="D99" t="str">
        <v>Foam*</v>
      </c>
      <c r="E99" t="str">
        <v>Foam box</v>
      </c>
      <c r="F99" t="s">
        <v>810</v>
      </c>
      <c r="G99" t="s">
        <v>804</v>
      </c>
      <c r="H99" t="s">
        <v>949</v>
      </c>
    </row>
    <row r="100" spans="1:16" x14ac:dyDescent="0.25">
      <c r="F100" t="s">
        <v>260</v>
      </c>
      <c r="G100" t="s">
        <v>260</v>
      </c>
      <c r="H100" t="s">
        <v>814</v>
      </c>
    </row>
    <row r="102" spans="1:16" s="436" customFormat="1" ht="15.75" thickBot="1" x14ac:dyDescent="0.3">
      <c r="A102" s="596" t="s">
        <v>498</v>
      </c>
      <c r="C102" s="597"/>
    </row>
    <row r="103" spans="1:16" x14ac:dyDescent="0.25">
      <c r="A103" s="157"/>
      <c r="B103" s="1" t="s">
        <v>887</v>
      </c>
      <c r="C103" s="1"/>
      <c r="D103" s="1"/>
      <c r="E103" s="1" t="s">
        <v>886</v>
      </c>
      <c r="G103" s="47"/>
      <c r="H103" s="47"/>
    </row>
    <row r="104" spans="1:16" x14ac:dyDescent="0.25">
      <c r="A104" s="157">
        <v>1</v>
      </c>
      <c r="B104">
        <f ca="1">IF($A$56=3,"bespoke cylindrical", IF($A$56=2,"bespoke",Equations!$B$465))</f>
        <v>250</v>
      </c>
      <c r="C104" s="6"/>
      <c r="E104" s="592">
        <v>350</v>
      </c>
      <c r="F104" s="593">
        <v>250</v>
      </c>
      <c r="G104" s="592">
        <v>200</v>
      </c>
      <c r="H104" s="6" t="s">
        <v>819</v>
      </c>
      <c r="I104" s="6" t="s">
        <v>892</v>
      </c>
      <c r="J104" s="6"/>
      <c r="L104" s="1" t="s">
        <v>909</v>
      </c>
    </row>
    <row r="105" spans="1:16" x14ac:dyDescent="0.25">
      <c r="A105" s="157">
        <v>2</v>
      </c>
      <c r="B105" s="6">
        <f ca="1">HLOOKUP($B$104,$E$104:$I$107,A105,0)</f>
        <v>350</v>
      </c>
      <c r="C105" s="6"/>
      <c r="E105" s="6">
        <v>250</v>
      </c>
      <c r="F105" s="594">
        <v>350</v>
      </c>
      <c r="G105" s="6">
        <v>250</v>
      </c>
      <c r="H105" s="6" t="s">
        <v>260</v>
      </c>
      <c r="I105" s="6" t="s">
        <v>260</v>
      </c>
      <c r="J105" s="6"/>
      <c r="L105" s="1" t="s">
        <v>104</v>
      </c>
      <c r="M105" s="1" t="s">
        <v>499</v>
      </c>
      <c r="N105" s="1" t="s">
        <v>898</v>
      </c>
      <c r="O105" s="1" t="s">
        <v>891</v>
      </c>
      <c r="P105" s="1" t="s">
        <v>896</v>
      </c>
    </row>
    <row r="106" spans="1:16" x14ac:dyDescent="0.25">
      <c r="A106" s="157">
        <v>3</v>
      </c>
      <c r="B106" s="6">
        <f ca="1">HLOOKUP($B$104,$E$104:$I$107,A106,0)</f>
        <v>200</v>
      </c>
      <c r="C106" s="6"/>
      <c r="E106" s="6">
        <v>200</v>
      </c>
      <c r="F106" s="594">
        <v>200</v>
      </c>
      <c r="G106" s="6">
        <v>350</v>
      </c>
      <c r="H106" s="6" t="s">
        <v>260</v>
      </c>
      <c r="I106" s="6" t="s">
        <v>260</v>
      </c>
      <c r="J106" s="6"/>
      <c r="L106">
        <v>200</v>
      </c>
      <c r="M106">
        <f>L106</f>
        <v>200</v>
      </c>
      <c r="N106" t="str">
        <f>L106&amp;" mm high box"</f>
        <v>200 mm high box</v>
      </c>
      <c r="O106" t="str">
        <f t="shared" ref="O106:O111" si="0">"K"&amp;$C$99&amp;M106</f>
        <v>KF200</v>
      </c>
      <c r="P106" t="str">
        <f>L106&amp;" mm high box"</f>
        <v>200 mm high box</v>
      </c>
    </row>
    <row r="107" spans="1:16" x14ac:dyDescent="0.25">
      <c r="A107" s="157">
        <v>4</v>
      </c>
      <c r="B107" s="6" t="str">
        <f ca="1">HLOOKUP($B$104,$E$104:$I$107,A107,0)</f>
        <v>bespoke</v>
      </c>
      <c r="C107" s="6"/>
      <c r="E107" s="6" t="s">
        <v>819</v>
      </c>
      <c r="F107" s="6" t="s">
        <v>819</v>
      </c>
      <c r="G107" s="6" t="s">
        <v>819</v>
      </c>
      <c r="H107" s="6" t="s">
        <v>260</v>
      </c>
      <c r="I107" s="6" t="s">
        <v>260</v>
      </c>
      <c r="J107" s="6"/>
      <c r="L107">
        <v>250</v>
      </c>
      <c r="M107">
        <f>L107</f>
        <v>250</v>
      </c>
      <c r="N107" t="str">
        <f t="shared" ref="N107:N110" si="1">L107&amp;" mm high box"</f>
        <v>250 mm high box</v>
      </c>
      <c r="O107" t="str">
        <f t="shared" si="0"/>
        <v>KF250</v>
      </c>
      <c r="P107" t="str">
        <f>L107&amp;" mm high box"</f>
        <v>250 mm high box</v>
      </c>
    </row>
    <row r="108" spans="1:16" x14ac:dyDescent="0.25">
      <c r="A108" s="6"/>
      <c r="B108" s="6"/>
      <c r="C108" s="6"/>
      <c r="E108" s="1"/>
      <c r="G108" s="47"/>
      <c r="I108" s="157"/>
      <c r="L108">
        <v>300</v>
      </c>
      <c r="M108">
        <f>L108</f>
        <v>300</v>
      </c>
      <c r="N108" t="str">
        <f t="shared" si="1"/>
        <v>300 mm high box</v>
      </c>
      <c r="O108" t="str">
        <f t="shared" si="0"/>
        <v>KF300</v>
      </c>
      <c r="P108" t="str">
        <f>L108&amp;" mm high box"</f>
        <v>300 mm high box</v>
      </c>
    </row>
    <row r="109" spans="1:16" x14ac:dyDescent="0.25">
      <c r="A109" s="6"/>
      <c r="B109" s="6"/>
      <c r="C109" s="6"/>
      <c r="E109" s="1" t="s">
        <v>904</v>
      </c>
      <c r="G109" s="47"/>
      <c r="I109" s="157"/>
      <c r="L109">
        <v>350</v>
      </c>
      <c r="M109">
        <f>L109</f>
        <v>350</v>
      </c>
      <c r="N109" t="str">
        <f t="shared" si="1"/>
        <v>350 mm high box</v>
      </c>
      <c r="O109" t="str">
        <f t="shared" si="0"/>
        <v>KF350</v>
      </c>
      <c r="P109" t="str">
        <f>L109&amp;" mm high box"</f>
        <v>350 mm high box</v>
      </c>
    </row>
    <row r="110" spans="1:16" x14ac:dyDescent="0.25">
      <c r="A110" s="157">
        <v>1</v>
      </c>
      <c r="B110">
        <f ca="1">IF($A$56=3,"bespoke cylindrical", IF($A$56=2,"bespoke",Equations!$B$477))</f>
        <v>300</v>
      </c>
      <c r="C110" s="6"/>
      <c r="E110" s="592">
        <v>400</v>
      </c>
      <c r="F110" s="592">
        <v>350</v>
      </c>
      <c r="G110" s="593">
        <v>300</v>
      </c>
      <c r="H110" s="592">
        <v>250</v>
      </c>
      <c r="I110" s="6" t="s">
        <v>819</v>
      </c>
      <c r="J110" s="6" t="s">
        <v>892</v>
      </c>
      <c r="L110">
        <v>400</v>
      </c>
      <c r="M110">
        <f>L110</f>
        <v>400</v>
      </c>
      <c r="N110" t="str">
        <f t="shared" si="1"/>
        <v>400 mm high box</v>
      </c>
      <c r="O110" t="str">
        <f t="shared" si="0"/>
        <v>KF400</v>
      </c>
      <c r="P110" t="str">
        <f>L110&amp;" mm high box"</f>
        <v>400 mm high box</v>
      </c>
    </row>
    <row r="111" spans="1:16" x14ac:dyDescent="0.25">
      <c r="A111" s="157">
        <v>2</v>
      </c>
      <c r="B111" s="6">
        <f ca="1">HLOOKUP($B$110,$E$110:$J$113,A111,0)</f>
        <v>250</v>
      </c>
      <c r="C111" s="6"/>
      <c r="E111" s="6">
        <v>350</v>
      </c>
      <c r="F111" s="6">
        <v>300</v>
      </c>
      <c r="G111" s="594">
        <v>250</v>
      </c>
      <c r="H111" s="6">
        <v>350</v>
      </c>
      <c r="I111" s="6" t="s">
        <v>260</v>
      </c>
      <c r="J111" s="6" t="s">
        <v>260</v>
      </c>
      <c r="L111" t="s">
        <v>819</v>
      </c>
      <c r="M111" t="s">
        <v>893</v>
      </c>
      <c r="N111" t="s">
        <v>819</v>
      </c>
      <c r="O111" t="str">
        <f t="shared" si="0"/>
        <v>KFB</v>
      </c>
      <c r="P111" t="s">
        <v>947</v>
      </c>
    </row>
    <row r="112" spans="1:16" x14ac:dyDescent="0.25">
      <c r="A112" s="157">
        <v>3</v>
      </c>
      <c r="B112" s="6">
        <f t="shared" ref="B112:B113" ca="1" si="2">HLOOKUP($B$110,$E$110:$J$113,A112,0)</f>
        <v>350</v>
      </c>
      <c r="C112" s="6"/>
      <c r="E112" s="6" t="s">
        <v>260</v>
      </c>
      <c r="F112" s="6">
        <v>400</v>
      </c>
      <c r="G112" s="594">
        <v>350</v>
      </c>
      <c r="H112" s="6" t="s">
        <v>260</v>
      </c>
      <c r="I112" s="6" t="s">
        <v>260</v>
      </c>
      <c r="J112" s="6" t="s">
        <v>260</v>
      </c>
      <c r="L112" t="s">
        <v>892</v>
      </c>
      <c r="M112" t="s">
        <v>96</v>
      </c>
      <c r="N112" t="s">
        <v>892</v>
      </c>
      <c r="O112" t="s">
        <v>895</v>
      </c>
      <c r="P112" t="s">
        <v>948</v>
      </c>
    </row>
    <row r="113" spans="1:16" x14ac:dyDescent="0.25">
      <c r="A113" s="157">
        <v>4</v>
      </c>
      <c r="B113" s="6" t="str">
        <f t="shared" ca="1" si="2"/>
        <v>N/A</v>
      </c>
      <c r="C113" s="6"/>
      <c r="E113" s="6" t="s">
        <v>260</v>
      </c>
      <c r="F113" s="6" t="s">
        <v>260</v>
      </c>
      <c r="G113" s="6" t="s">
        <v>260</v>
      </c>
      <c r="H113" s="6" t="s">
        <v>260</v>
      </c>
      <c r="I113" s="6" t="s">
        <v>260</v>
      </c>
      <c r="J113" s="6" t="s">
        <v>260</v>
      </c>
      <c r="L113" t="s">
        <v>260</v>
      </c>
      <c r="M113" t="s">
        <v>260</v>
      </c>
      <c r="N113" t="s">
        <v>260</v>
      </c>
      <c r="O113" t="s">
        <v>894</v>
      </c>
      <c r="P113" t="s">
        <v>897</v>
      </c>
    </row>
    <row r="114" spans="1:16" x14ac:dyDescent="0.25">
      <c r="A114" s="1"/>
      <c r="C114" s="47"/>
    </row>
    <row r="115" spans="1:16" x14ac:dyDescent="0.25">
      <c r="A115" s="1" t="s">
        <v>991</v>
      </c>
      <c r="B115" t="b">
        <f>OR(Equations!$C$17,$B$185=4)</f>
        <v>0</v>
      </c>
      <c r="C115" s="47"/>
    </row>
    <row r="116" spans="1:16" x14ac:dyDescent="0.25">
      <c r="A116" s="1" t="s">
        <v>630</v>
      </c>
      <c r="C116" s="47"/>
    </row>
    <row r="117" spans="1:16" x14ac:dyDescent="0.25">
      <c r="A117" t="s">
        <v>754</v>
      </c>
      <c r="B117" t="s">
        <v>104</v>
      </c>
      <c r="C117" t="s">
        <v>794</v>
      </c>
      <c r="D117" t="s">
        <v>499</v>
      </c>
      <c r="E117" t="s">
        <v>685</v>
      </c>
    </row>
    <row r="118" spans="1:16" x14ac:dyDescent="0.25">
      <c r="A118">
        <v>1</v>
      </c>
      <c r="B118" s="5">
        <f ca="1">IF($B$115,Data!B110,Data!B104)</f>
        <v>250</v>
      </c>
      <c r="C118" s="151" t="str">
        <f ca="1">VLOOKUP($B118,$L$106:$P$113,3,0)&amp;" (default)"</f>
        <v>250 mm high box (default)</v>
      </c>
      <c r="D118" s="151" t="str">
        <f ca="1">VLOOKUP($B118,$L$106:$P$113,4,0)</f>
        <v>KF250</v>
      </c>
      <c r="E118" s="151" t="str">
        <f ca="1">VLOOKUP($B118,$L$106:$P$113,5,0)&amp; " (default based on flow rate)"</f>
        <v>250 mm high box (default based on flow rate)</v>
      </c>
    </row>
    <row r="119" spans="1:16" x14ac:dyDescent="0.25">
      <c r="A119">
        <v>2</v>
      </c>
      <c r="B119" s="5">
        <f ca="1">IF($B$115,Data!B111,Data!B105)</f>
        <v>350</v>
      </c>
      <c r="C119" s="151" t="str">
        <f ca="1">VLOOKUP($B119,$L$106:$P$113,3,0)</f>
        <v>350 mm high box</v>
      </c>
      <c r="D119" s="151" t="str">
        <f ca="1">VLOOKUP($B119,$L$106:$P$113,4,0)</f>
        <v>KF350</v>
      </c>
      <c r="E119" s="151" t="str">
        <f ca="1">VLOOKUP($B119,$L$106:$P$113,5,0)</f>
        <v>350 mm high box</v>
      </c>
    </row>
    <row r="120" spans="1:16" x14ac:dyDescent="0.25">
      <c r="A120">
        <v>3</v>
      </c>
      <c r="B120" s="5">
        <f ca="1">IF($B$115,Data!B112,Data!B106)</f>
        <v>200</v>
      </c>
      <c r="C120" s="151" t="str">
        <f ca="1">VLOOKUP($B120,$L$106:$P$113,3,0)</f>
        <v>200 mm high box</v>
      </c>
      <c r="D120" s="151" t="str">
        <f ca="1">VLOOKUP($B120,$L$106:$P$113,4,0)</f>
        <v>KF200</v>
      </c>
      <c r="E120" s="151" t="str">
        <f ca="1">VLOOKUP($B120,$L$106:$P$113,5,0)</f>
        <v>200 mm high box</v>
      </c>
    </row>
    <row r="121" spans="1:16" x14ac:dyDescent="0.25">
      <c r="A121">
        <v>4</v>
      </c>
      <c r="B121" s="5" t="str">
        <f ca="1">IF($B$115,Data!B113,Data!B107)</f>
        <v>bespoke</v>
      </c>
      <c r="C121" s="151" t="str">
        <f ca="1">VLOOKUP($B121,$L$106:$P$113,3,0)</f>
        <v>bespoke</v>
      </c>
      <c r="D121" s="151" t="str">
        <f ca="1">VLOOKUP($B121,$L$106:$P$113,4,0)</f>
        <v>KFB</v>
      </c>
      <c r="E121" s="151" t="str">
        <f ca="1">VLOOKUP($B121,$L$106:$P$113,5,0)</f>
        <v>Bespoke box (contact Smartair)</v>
      </c>
    </row>
    <row r="122" spans="1:16" x14ac:dyDescent="0.25">
      <c r="A122" s="303">
        <v>1</v>
      </c>
      <c r="B122" s="303" cm="1">
        <f t="array" aca="1" ref="B122:E122" ca="1">VLOOKUP(A122,A118:E121,{2,3,4,5},0)</f>
        <v>250</v>
      </c>
      <c r="C122" s="303" t="str">
        <f ca="1"/>
        <v>250 mm high box (default)</v>
      </c>
      <c r="D122" s="303" t="str">
        <f ca="1"/>
        <v>KF250</v>
      </c>
      <c r="E122" s="346" t="str">
        <f ca="1"/>
        <v>250 mm high box (default based on flow rate)</v>
      </c>
    </row>
    <row r="123" spans="1:16" s="436" customFormat="1" ht="15.75" thickBot="1" x14ac:dyDescent="0.3">
      <c r="C123" s="597"/>
    </row>
    <row r="124" spans="1:16" x14ac:dyDescent="0.25">
      <c r="A124" s="1" t="s">
        <v>890</v>
      </c>
    </row>
    <row r="125" spans="1:16" x14ac:dyDescent="0.25">
      <c r="A125" s="141" t="s">
        <v>500</v>
      </c>
      <c r="B125" s="141">
        <v>350</v>
      </c>
      <c r="C125" s="141">
        <v>250</v>
      </c>
      <c r="D125" s="141">
        <v>200</v>
      </c>
      <c r="E125" s="141" t="s">
        <v>892</v>
      </c>
      <c r="F125" s="141" t="s">
        <v>819</v>
      </c>
      <c r="G125" t="s">
        <v>992</v>
      </c>
      <c r="H125" s="141" t="s">
        <v>260</v>
      </c>
    </row>
    <row r="126" spans="1:16" x14ac:dyDescent="0.25">
      <c r="A126">
        <v>1</v>
      </c>
      <c r="B126">
        <f ca="1">OFFSET(Equations!$C$417,Equations!$E$426,0)</f>
        <v>200</v>
      </c>
      <c r="C126">
        <f ca="1">OFFSET(Equations!$K$417,Equations!$M$426,0)</f>
        <v>200</v>
      </c>
      <c r="D126" s="6">
        <f ca="1">OFFSET(Equations!$S$417,Equations!$U$426,0)</f>
        <v>250</v>
      </c>
      <c r="E126">
        <v>300</v>
      </c>
      <c r="F126">
        <f ca="1">IF(C126="N/A",350,C126)</f>
        <v>200</v>
      </c>
      <c r="G126" s="303">
        <f ca="1">IFERROR(B122-100,"N/A")</f>
        <v>150</v>
      </c>
      <c r="H126" t="s">
        <v>819</v>
      </c>
    </row>
    <row r="127" spans="1:16" x14ac:dyDescent="0.25">
      <c r="A127">
        <v>2</v>
      </c>
      <c r="B127">
        <f ca="1">OFFSET(Equations!$C$417,Equations!$E$426-1,0)</f>
        <v>150</v>
      </c>
      <c r="C127">
        <f ca="1">OFFSET(Equations!$K$417,Equations!$M$426-1,0)</f>
        <v>150</v>
      </c>
      <c r="D127" s="6">
        <f ca="1">OFFSET(Equations!$S$417,Equations!$U$426-1,0)</f>
        <v>200</v>
      </c>
      <c r="E127">
        <v>250</v>
      </c>
      <c r="F127">
        <f ca="1">F126-50</f>
        <v>150</v>
      </c>
      <c r="G127" t="str">
        <f>Equations!$C$483</f>
        <v>N/A</v>
      </c>
      <c r="H127" t="s">
        <v>260</v>
      </c>
    </row>
    <row r="128" spans="1:16" x14ac:dyDescent="0.25">
      <c r="A128">
        <v>3</v>
      </c>
      <c r="B128">
        <f ca="1">IF(B126="N/A","N/A",OFFSET(Equations!$C$417,Equations!$E$426+1,0))</f>
        <v>250</v>
      </c>
      <c r="C128">
        <f ca="1">IF(C126="N/A","N/A",OFFSET(Equations!$K$417,Equations!$M$426+1,0))</f>
        <v>250</v>
      </c>
      <c r="D128" s="6">
        <f ca="1">IF(D126="N/A","N/A",OFFSET(Equations!$S$417,Equations!$U$426+1,0))</f>
        <v>300</v>
      </c>
      <c r="E128">
        <v>200</v>
      </c>
      <c r="F128">
        <f ca="1">F127-50</f>
        <v>100</v>
      </c>
      <c r="G128" t="s">
        <v>260</v>
      </c>
      <c r="H128" t="s">
        <v>260</v>
      </c>
    </row>
    <row r="129" spans="1:9" x14ac:dyDescent="0.25">
      <c r="A129">
        <v>4</v>
      </c>
      <c r="B129" t="s">
        <v>819</v>
      </c>
      <c r="C129" t="s">
        <v>819</v>
      </c>
      <c r="D129" t="s">
        <v>819</v>
      </c>
      <c r="E129" t="s">
        <v>819</v>
      </c>
      <c r="F129" t="s">
        <v>819</v>
      </c>
      <c r="G129" t="s">
        <v>260</v>
      </c>
      <c r="H129" t="s">
        <v>260</v>
      </c>
    </row>
    <row r="130" spans="1:9" x14ac:dyDescent="0.25">
      <c r="D130" s="6"/>
    </row>
    <row r="131" spans="1:9" x14ac:dyDescent="0.25">
      <c r="A131" t="s">
        <v>905</v>
      </c>
      <c r="B131">
        <f ca="1">HLOOKUP(Equations!B465,Data!B125:H129,2,FALSE)</f>
        <v>200</v>
      </c>
      <c r="D131" s="6"/>
    </row>
    <row r="132" spans="1:9" x14ac:dyDescent="0.25">
      <c r="A132" t="s">
        <v>906</v>
      </c>
      <c r="B132">
        <f ca="1">Equations!B477</f>
        <v>300</v>
      </c>
      <c r="D132" s="6"/>
    </row>
    <row r="133" spans="1:9" x14ac:dyDescent="0.25">
      <c r="A133" s="1" t="s">
        <v>888</v>
      </c>
      <c r="D133" s="6"/>
    </row>
    <row r="134" spans="1:9" x14ac:dyDescent="0.25">
      <c r="A134" s="1" t="s">
        <v>174</v>
      </c>
      <c r="B134" s="6">
        <f ca="1">IF($B$115,Data!G125,Data!$B$122)</f>
        <v>250</v>
      </c>
      <c r="D134" s="6"/>
      <c r="E134" s="1" t="s">
        <v>104</v>
      </c>
      <c r="F134" s="1" t="s">
        <v>104</v>
      </c>
      <c r="G134" s="1" t="s">
        <v>499</v>
      </c>
      <c r="H134" s="1" t="s">
        <v>501</v>
      </c>
      <c r="I134" s="1" t="s">
        <v>502</v>
      </c>
    </row>
    <row r="135" spans="1:9" x14ac:dyDescent="0.25">
      <c r="A135">
        <v>1</v>
      </c>
      <c r="B135" s="6" cm="1">
        <f t="array" aca="1" ref="B135:B138" ca="1">TRANSPOSE(HLOOKUP(B134,$B$125:$H$129,{2,3,4,5},0))</f>
        <v>200</v>
      </c>
      <c r="D135" s="6"/>
      <c r="E135" s="213">
        <v>150</v>
      </c>
      <c r="F135" s="213" t="str">
        <f>"DN"&amp;E135</f>
        <v>DN150</v>
      </c>
      <c r="G135" t="str">
        <f t="shared" ref="G135:G140" si="3">"SD"&amp;E135</f>
        <v>SD150</v>
      </c>
      <c r="H135" t="str">
        <f t="shared" ref="H135:H140" si="4">"DN"&amp;E135</f>
        <v>DN150</v>
      </c>
      <c r="I135" t="str">
        <f t="shared" ref="I135:I140" si="5">H135&amp;" mm"</f>
        <v>DN150 mm</v>
      </c>
    </row>
    <row r="136" spans="1:9" x14ac:dyDescent="0.25">
      <c r="A136">
        <v>2</v>
      </c>
      <c r="B136" s="6">
        <f ca="1"/>
        <v>150</v>
      </c>
      <c r="D136" s="6"/>
      <c r="E136" s="213">
        <v>200</v>
      </c>
      <c r="F136" s="213" t="str">
        <f t="shared" ref="F136:F140" si="6">"DN"&amp;E136</f>
        <v>DN200</v>
      </c>
      <c r="G136" t="str">
        <f t="shared" si="3"/>
        <v>SD200</v>
      </c>
      <c r="H136" t="str">
        <f t="shared" si="4"/>
        <v>DN200</v>
      </c>
      <c r="I136" t="str">
        <f t="shared" si="5"/>
        <v>DN200 mm</v>
      </c>
    </row>
    <row r="137" spans="1:9" x14ac:dyDescent="0.25">
      <c r="A137">
        <v>3</v>
      </c>
      <c r="B137" s="6">
        <f ca="1"/>
        <v>250</v>
      </c>
      <c r="D137" s="6"/>
      <c r="E137" s="213">
        <v>250</v>
      </c>
      <c r="F137" s="213" t="str">
        <f t="shared" si="6"/>
        <v>DN250</v>
      </c>
      <c r="G137" t="str">
        <f t="shared" si="3"/>
        <v>SD250</v>
      </c>
      <c r="H137" t="str">
        <f t="shared" si="4"/>
        <v>DN250</v>
      </c>
      <c r="I137" t="str">
        <f t="shared" si="5"/>
        <v>DN250 mm</v>
      </c>
    </row>
    <row r="138" spans="1:9" x14ac:dyDescent="0.25">
      <c r="A138">
        <v>4</v>
      </c>
      <c r="B138" s="6" t="str">
        <f ca="1"/>
        <v>bespoke</v>
      </c>
      <c r="D138" s="6"/>
      <c r="E138" s="213">
        <v>300</v>
      </c>
      <c r="F138" s="213" t="str">
        <f t="shared" si="6"/>
        <v>DN300</v>
      </c>
      <c r="G138" t="str">
        <f t="shared" si="3"/>
        <v>SD300</v>
      </c>
      <c r="H138" t="str">
        <f t="shared" si="4"/>
        <v>DN300</v>
      </c>
      <c r="I138" t="str">
        <f t="shared" si="5"/>
        <v>DN300 mm</v>
      </c>
    </row>
    <row r="139" spans="1:9" x14ac:dyDescent="0.25">
      <c r="D139" s="6"/>
      <c r="E139" s="213">
        <v>350</v>
      </c>
      <c r="F139" s="213" t="str">
        <f t="shared" si="6"/>
        <v>DN350</v>
      </c>
      <c r="G139" t="str">
        <f t="shared" si="3"/>
        <v>SD350</v>
      </c>
      <c r="H139" t="str">
        <f t="shared" si="4"/>
        <v>DN350</v>
      </c>
      <c r="I139" t="str">
        <f t="shared" si="5"/>
        <v>DN350 mm</v>
      </c>
    </row>
    <row r="140" spans="1:9" x14ac:dyDescent="0.25">
      <c r="A140" s="1"/>
      <c r="D140" s="6"/>
      <c r="E140" s="213">
        <v>400</v>
      </c>
      <c r="F140" s="213" t="str">
        <f t="shared" si="6"/>
        <v>DN400</v>
      </c>
      <c r="G140" t="str">
        <f t="shared" si="3"/>
        <v>SD400</v>
      </c>
      <c r="H140" t="str">
        <f t="shared" si="4"/>
        <v>DN400</v>
      </c>
      <c r="I140" t="str">
        <f t="shared" si="5"/>
        <v>DN400 mm</v>
      </c>
    </row>
    <row r="141" spans="1:9" x14ac:dyDescent="0.25">
      <c r="B141" s="6"/>
      <c r="D141" s="6"/>
      <c r="E141" s="213" t="s">
        <v>819</v>
      </c>
      <c r="F141" s="213" t="s">
        <v>819</v>
      </c>
      <c r="G141" t="s">
        <v>859</v>
      </c>
      <c r="H141" t="s">
        <v>899</v>
      </c>
      <c r="I141" t="s">
        <v>946</v>
      </c>
    </row>
    <row r="142" spans="1:9" x14ac:dyDescent="0.25">
      <c r="B142" s="6"/>
      <c r="D142" s="6"/>
      <c r="E142" s="213" t="s">
        <v>260</v>
      </c>
      <c r="F142" s="213" t="s">
        <v>260</v>
      </c>
      <c r="G142" t="s">
        <v>994</v>
      </c>
      <c r="H142" t="s">
        <v>260</v>
      </c>
      <c r="I142" t="s">
        <v>953</v>
      </c>
    </row>
    <row r="143" spans="1:9" x14ac:dyDescent="0.25">
      <c r="B143" s="6"/>
      <c r="D143" s="6"/>
    </row>
    <row r="144" spans="1:9" x14ac:dyDescent="0.25">
      <c r="A144" s="1"/>
    </row>
    <row r="145" spans="1:9" x14ac:dyDescent="0.25">
      <c r="A145" s="1" t="s">
        <v>174</v>
      </c>
      <c r="B145" s="1" t="s">
        <v>104</v>
      </c>
      <c r="C145" s="1" t="s">
        <v>900</v>
      </c>
      <c r="D145" s="1" t="s">
        <v>499</v>
      </c>
      <c r="E145" s="1" t="s">
        <v>501</v>
      </c>
      <c r="F145" s="1" t="s">
        <v>502</v>
      </c>
    </row>
    <row r="146" spans="1:9" x14ac:dyDescent="0.25">
      <c r="A146">
        <v>1</v>
      </c>
      <c r="B146" s="6">
        <f ca="1">B135</f>
        <v>200</v>
      </c>
      <c r="C146" t="str">
        <f ca="1">VLOOKUP($B146,$E$134:$I$142,2,0)</f>
        <v>DN200</v>
      </c>
      <c r="D146" t="str">
        <f ca="1">VLOOKUP($B146,$E$134:$I$142,3,0)</f>
        <v>SD200</v>
      </c>
      <c r="E146" t="str">
        <f ca="1">VLOOKUP($B146,$E$134:$I$142,4,0)&amp; " (default)"</f>
        <v>DN200 (default)</v>
      </c>
      <c r="F146" t="str">
        <f ca="1">VLOOKUP($B146,$E$134:$I$142,5,0)&amp; " (default)"</f>
        <v>DN200 mm (default)</v>
      </c>
    </row>
    <row r="147" spans="1:9" x14ac:dyDescent="0.25">
      <c r="A147">
        <v>2</v>
      </c>
      <c r="B147" s="6">
        <f ca="1">B136</f>
        <v>150</v>
      </c>
      <c r="C147" t="str">
        <f t="shared" ref="C147:C149" ca="1" si="7">VLOOKUP($B147,$E$134:$I$142,2,0)</f>
        <v>DN150</v>
      </c>
      <c r="D147" t="str">
        <f ca="1">VLOOKUP($B147,$E$134:$I$142,3,0)</f>
        <v>SD150</v>
      </c>
      <c r="E147" t="str">
        <f ca="1">VLOOKUP($B147,$E$134:$I$142,4,0)</f>
        <v>DN150</v>
      </c>
      <c r="F147" t="str">
        <f ca="1">VLOOKUP($B147,$E$134:$I$142,5,0)</f>
        <v>DN150 mm</v>
      </c>
    </row>
    <row r="148" spans="1:9" x14ac:dyDescent="0.25">
      <c r="A148">
        <v>3</v>
      </c>
      <c r="B148" s="6">
        <f ca="1">B137</f>
        <v>250</v>
      </c>
      <c r="C148" t="str">
        <f t="shared" ca="1" si="7"/>
        <v>DN250</v>
      </c>
      <c r="D148" t="str">
        <f t="shared" ref="D148:D149" ca="1" si="8">VLOOKUP($B148,$E$134:$I$142,3,0)</f>
        <v>SD250</v>
      </c>
      <c r="E148" t="str">
        <f t="shared" ref="E148:E149" ca="1" si="9">VLOOKUP($B148,$E$134:$I$142,4,0)</f>
        <v>DN250</v>
      </c>
      <c r="F148" t="str">
        <f t="shared" ref="F148:F149" ca="1" si="10">VLOOKUP($B148,$E$134:$I$142,5,0)</f>
        <v>DN250 mm</v>
      </c>
    </row>
    <row r="149" spans="1:9" x14ac:dyDescent="0.25">
      <c r="A149">
        <v>4</v>
      </c>
      <c r="B149" s="6" t="str">
        <f ca="1">B138</f>
        <v>bespoke</v>
      </c>
      <c r="C149" t="str">
        <f t="shared" ca="1" si="7"/>
        <v>bespoke</v>
      </c>
      <c r="D149" t="str">
        <f t="shared" ca="1" si="8"/>
        <v>SDX</v>
      </c>
      <c r="E149" t="str">
        <f t="shared" ca="1" si="9"/>
        <v>bespoke spigot</v>
      </c>
      <c r="F149" t="str">
        <f t="shared" ca="1" si="10"/>
        <v>Bespoke spigot size (contact Smartair)</v>
      </c>
    </row>
    <row r="150" spans="1:9" x14ac:dyDescent="0.25">
      <c r="A150" s="303">
        <v>1</v>
      </c>
      <c r="B150" s="303" cm="1">
        <f t="array" aca="1" ref="B150:F150" ca="1">VLOOKUP($A$150,A146:F149,{2,3,4,5,6},0)</f>
        <v>200</v>
      </c>
      <c r="C150" s="303" t="str">
        <f ca="1"/>
        <v>DN200</v>
      </c>
      <c r="D150" s="303" t="str">
        <f ca="1"/>
        <v>SD200</v>
      </c>
      <c r="E150" s="303" t="str">
        <f ca="1"/>
        <v>DN200 (default)</v>
      </c>
      <c r="F150" s="303" t="str">
        <f ca="1"/>
        <v>DN200 mm (default)</v>
      </c>
      <c r="G150" s="303"/>
    </row>
    <row r="152" spans="1:9" x14ac:dyDescent="0.25">
      <c r="A152" t="s">
        <v>916</v>
      </c>
      <c r="B152" t="b">
        <f>A122=1</f>
        <v>1</v>
      </c>
    </row>
    <row r="153" spans="1:9" x14ac:dyDescent="0.25">
      <c r="A153" t="s">
        <v>917</v>
      </c>
      <c r="B153" t="b">
        <f>A150=1</f>
        <v>1</v>
      </c>
    </row>
    <row r="154" spans="1:9" x14ac:dyDescent="0.25">
      <c r="A154" t="s">
        <v>887</v>
      </c>
      <c r="B154" t="b">
        <f>AND(B152,B153)</f>
        <v>1</v>
      </c>
      <c r="C154" t="str">
        <f>IF(B154,"","* non-default selected")</f>
        <v/>
      </c>
    </row>
    <row r="155" spans="1:9" s="436" customFormat="1" ht="15.75" thickBot="1" x14ac:dyDescent="0.3"/>
    <row r="156" spans="1:9" x14ac:dyDescent="0.25">
      <c r="A156" s="1" t="s">
        <v>784</v>
      </c>
    </row>
    <row r="157" spans="1:9" x14ac:dyDescent="0.25">
      <c r="B157" t="s">
        <v>420</v>
      </c>
      <c r="C157" t="s">
        <v>499</v>
      </c>
      <c r="D157" t="s">
        <v>155</v>
      </c>
    </row>
    <row r="158" spans="1:9" x14ac:dyDescent="0.25">
      <c r="B158">
        <v>1</v>
      </c>
      <c r="C158" t="s">
        <v>792</v>
      </c>
      <c r="D158" t="s">
        <v>815</v>
      </c>
    </row>
    <row r="159" spans="1:9" x14ac:dyDescent="0.25">
      <c r="B159" s="141">
        <v>2</v>
      </c>
      <c r="C159" s="141" t="s">
        <v>793</v>
      </c>
      <c r="D159" s="141" t="s">
        <v>816</v>
      </c>
    </row>
    <row r="160" spans="1:9" x14ac:dyDescent="0.25">
      <c r="B160">
        <v>1</v>
      </c>
      <c r="C160" t="str" cm="1">
        <f t="array" ref="C160:D160">VLOOKUP(B160,$B$158:$D$159,{2,3})</f>
        <v>R1</v>
      </c>
      <c r="D160" t="str">
        <v>R1 insulation</v>
      </c>
      <c r="H160" t="s">
        <v>967</v>
      </c>
      <c r="I160" t="s">
        <v>969</v>
      </c>
    </row>
    <row r="161" spans="1:9" x14ac:dyDescent="0.25">
      <c r="A161" t="s">
        <v>524</v>
      </c>
      <c r="B161" t="str">
        <f>$E$99&amp;" with " &amp;D160</f>
        <v>Foam box with R1 insulation</v>
      </c>
      <c r="H161" t="s">
        <v>966</v>
      </c>
      <c r="I161" t="s">
        <v>968</v>
      </c>
    </row>
    <row r="162" spans="1:9" x14ac:dyDescent="0.25">
      <c r="H162" t="s">
        <v>334</v>
      </c>
      <c r="I162" t="s">
        <v>808</v>
      </c>
    </row>
    <row r="163" spans="1:9" x14ac:dyDescent="0.25">
      <c r="A163" s="1" t="s">
        <v>785</v>
      </c>
      <c r="H163" t="s">
        <v>797</v>
      </c>
      <c r="I163" t="s">
        <v>790</v>
      </c>
    </row>
    <row r="164" spans="1:9" x14ac:dyDescent="0.25">
      <c r="H164" t="s">
        <v>796</v>
      </c>
      <c r="I164" t="s">
        <v>789</v>
      </c>
    </row>
    <row r="165" spans="1:9" x14ac:dyDescent="0.25">
      <c r="B165" t="s">
        <v>795</v>
      </c>
      <c r="C165" t="s">
        <v>499</v>
      </c>
      <c r="D165" t="s">
        <v>155</v>
      </c>
    </row>
    <row r="166" spans="1:9" x14ac:dyDescent="0.25">
      <c r="A166" s="1" t="s">
        <v>782</v>
      </c>
      <c r="B166" t="b">
        <v>1</v>
      </c>
      <c r="C166" t="str">
        <f>IF(B166,"TE","SE")</f>
        <v>TE</v>
      </c>
      <c r="D166" t="str">
        <f>IF(B166,"Top entry spigot", "Side entry spigot")</f>
        <v>Top entry spigot</v>
      </c>
    </row>
    <row r="169" spans="1:9" x14ac:dyDescent="0.25">
      <c r="A169" t="s">
        <v>982</v>
      </c>
      <c r="B169">
        <v>1</v>
      </c>
    </row>
    <row r="170" spans="1:9" x14ac:dyDescent="0.25">
      <c r="A170" s="1" t="s">
        <v>981</v>
      </c>
      <c r="B170" t="str">
        <f>IF(B169=2,"TE","SE")</f>
        <v>SE</v>
      </c>
    </row>
    <row r="171" spans="1:9" x14ac:dyDescent="0.25">
      <c r="A171" t="s">
        <v>971</v>
      </c>
      <c r="B171" t="str">
        <f>IF(Equations!$C$17,"DMPC",IF($B$169=3,"DGPR","D0"))</f>
        <v>D0</v>
      </c>
    </row>
    <row r="179" spans="1:15" s="164" customFormat="1" x14ac:dyDescent="0.25">
      <c r="A179" s="1" t="s">
        <v>980</v>
      </c>
      <c r="B179"/>
      <c r="C179"/>
      <c r="D179"/>
      <c r="E179"/>
      <c r="F179"/>
      <c r="G179"/>
      <c r="H179"/>
      <c r="I179" s="1" t="s">
        <v>499</v>
      </c>
      <c r="J179" s="1" t="s">
        <v>501</v>
      </c>
      <c r="K179" s="1" t="s">
        <v>978</v>
      </c>
      <c r="L179" s="1" t="s">
        <v>807</v>
      </c>
      <c r="M179" s="1" t="s">
        <v>983</v>
      </c>
      <c r="N179"/>
      <c r="O179"/>
    </row>
    <row r="180" spans="1:15" s="164" customFormat="1" x14ac:dyDescent="0.25">
      <c r="B180" s="1"/>
      <c r="C180" t="s">
        <v>499</v>
      </c>
      <c r="D180" t="s">
        <v>501</v>
      </c>
      <c r="E180" t="s">
        <v>978</v>
      </c>
      <c r="F180" t="s">
        <v>807</v>
      </c>
      <c r="G180" s="164" t="s">
        <v>983</v>
      </c>
      <c r="I180" t="str">
        <f>B189</f>
        <v>SE-D0</v>
      </c>
      <c r="J180" t="s">
        <v>969</v>
      </c>
      <c r="K180" t="s">
        <v>969</v>
      </c>
      <c r="L180" t="str">
        <f>C188</f>
        <v>No pressure damper</v>
      </c>
      <c r="M180" t="str">
        <f>D188</f>
        <v>No pressure damper</v>
      </c>
      <c r="N180"/>
      <c r="O180"/>
    </row>
    <row r="181" spans="1:15" s="164" customFormat="1" x14ac:dyDescent="0.25">
      <c r="B181">
        <v>1</v>
      </c>
      <c r="C181" t="str">
        <f>I180</f>
        <v>SE-D0</v>
      </c>
      <c r="D181" t="str" cm="1">
        <f t="array" ref="D181:G181">VLOOKUP(C181,$I$180:$M$184,{2,3,4,5},0)</f>
        <v>Side entry spigot</v>
      </c>
      <c r="E181" t="str">
        <v>Side entry spigot</v>
      </c>
      <c r="F181" t="str">
        <v>No pressure damper</v>
      </c>
      <c r="G181" t="str">
        <v>No pressure damper</v>
      </c>
      <c r="H181"/>
      <c r="I181" t="str">
        <f>B190</f>
        <v>TE-D0</v>
      </c>
      <c r="J181" t="s">
        <v>968</v>
      </c>
      <c r="K181" t="s">
        <v>968</v>
      </c>
      <c r="L181" t="str">
        <f>C188</f>
        <v>No pressure damper</v>
      </c>
      <c r="M181" t="str">
        <f>D188</f>
        <v>No pressure damper</v>
      </c>
      <c r="N181"/>
      <c r="O181"/>
    </row>
    <row r="182" spans="1:15" s="164" customFormat="1" x14ac:dyDescent="0.25">
      <c r="B182">
        <v>2</v>
      </c>
      <c r="C182" t="str">
        <f>I181</f>
        <v>TE-D0</v>
      </c>
      <c r="D182" t="str" cm="1">
        <f t="array" ref="D182:G182">VLOOKUP(C182,$I$180:$M$184,{2,3,4,5},0)</f>
        <v>Top entry spigot</v>
      </c>
      <c r="E182" t="str">
        <v>Top entry spigot</v>
      </c>
      <c r="F182" t="str">
        <v>No pressure damper</v>
      </c>
      <c r="G182" t="str">
        <v>No pressure damper</v>
      </c>
      <c r="H182"/>
      <c r="I182" t="s">
        <v>970</v>
      </c>
      <c r="J182" t="s">
        <v>985</v>
      </c>
      <c r="K182" t="s">
        <v>969</v>
      </c>
      <c r="L182" t="s">
        <v>789</v>
      </c>
      <c r="M182" t="s">
        <v>861</v>
      </c>
      <c r="N182"/>
      <c r="O182"/>
    </row>
    <row r="183" spans="1:15" s="164" customFormat="1" x14ac:dyDescent="0.25">
      <c r="B183">
        <v>3</v>
      </c>
      <c r="C183" t="str">
        <f>IF(Equations!$C$17,Data!I183,Data!I182)</f>
        <v>SE-DGPR</v>
      </c>
      <c r="D183" t="str" cm="1">
        <f t="array" ref="D183:G183">VLOOKUP(C183,$I$180:$M$184,{2,3,4,5},0)</f>
        <v>Side entry spigot with Gravity Pressure Relief Damper</v>
      </c>
      <c r="E183" t="str">
        <v>Side entry spigot</v>
      </c>
      <c r="F183" t="str">
        <v>Gravity Pressure Relief Damper</v>
      </c>
      <c r="G183" t="str">
        <v>Gravity Pressure Relief Damper (side entry spigots only - lengthened spigot)</v>
      </c>
      <c r="H183"/>
      <c r="I183" t="s">
        <v>872</v>
      </c>
      <c r="J183" t="str">
        <f>"N/A" &amp;E188</f>
        <v>N/A</v>
      </c>
      <c r="K183" t="s">
        <v>953</v>
      </c>
      <c r="L183" t="s">
        <v>953</v>
      </c>
      <c r="M183" t="s">
        <v>953</v>
      </c>
      <c r="N183"/>
      <c r="O183"/>
    </row>
    <row r="184" spans="1:15" s="164" customFormat="1" x14ac:dyDescent="0.25">
      <c r="A184" s="582"/>
      <c r="B184" s="141">
        <v>4</v>
      </c>
      <c r="C184" s="141" t="str">
        <f>IF(Equations!$C$17,Data!I183,Data!I185)</f>
        <v>SE-DMSS</v>
      </c>
      <c r="D184" s="141" t="str" cm="1">
        <f t="array" ref="D184:G184">VLOOKUP(C184,$I$180:$M$185,{2,3,4,5},0)</f>
        <v>Side entry spigots with Motorised Supply Source Damper</v>
      </c>
      <c r="E184" s="141" t="str">
        <v>Side entry spigots</v>
      </c>
      <c r="F184" s="141" t="str">
        <v>Motorised Supply Source Damper</v>
      </c>
      <c r="G184" s="141" t="str">
        <v>Motorised Supply Source Damper (dual spigots for corner office source selection)</v>
      </c>
      <c r="H184"/>
      <c r="I184" t="s">
        <v>334</v>
      </c>
      <c r="J184" t="s">
        <v>808</v>
      </c>
      <c r="K184"/>
      <c r="L184" t="s">
        <v>808</v>
      </c>
      <c r="M184"/>
      <c r="N184"/>
    </row>
    <row r="185" spans="1:15" s="164" customFormat="1" x14ac:dyDescent="0.25">
      <c r="A185" t="s">
        <v>174</v>
      </c>
      <c r="B185">
        <f>B169</f>
        <v>1</v>
      </c>
      <c r="C185" t="str" cm="1">
        <f t="array" ref="C185:G185">VLOOKUP(B185,$B$181:$G$184,{2,3,4,5,6})</f>
        <v>SE-D0</v>
      </c>
      <c r="D185" t="str">
        <v>Side entry spigot</v>
      </c>
      <c r="E185" t="str">
        <v>Side entry spigot</v>
      </c>
      <c r="F185" t="str">
        <v>No pressure damper</v>
      </c>
      <c r="G185" t="str">
        <v>No pressure damper</v>
      </c>
      <c r="H185"/>
      <c r="I185" t="s">
        <v>989</v>
      </c>
      <c r="J185" t="s">
        <v>987</v>
      </c>
      <c r="K185" t="s">
        <v>988</v>
      </c>
      <c r="L185" t="s">
        <v>986</v>
      </c>
      <c r="M185" t="s">
        <v>1006</v>
      </c>
      <c r="N185"/>
      <c r="O185"/>
    </row>
    <row r="186" spans="1:15" s="164" customFormat="1" x14ac:dyDescent="0.25">
      <c r="A186"/>
      <c r="B186"/>
      <c r="C186"/>
      <c r="D186"/>
      <c r="E186"/>
      <c r="F186"/>
      <c r="G186"/>
      <c r="H186"/>
      <c r="I186"/>
      <c r="J186"/>
      <c r="K186"/>
      <c r="L186"/>
      <c r="M186"/>
      <c r="N186"/>
      <c r="O186"/>
    </row>
    <row r="187" spans="1:15" s="164" customFormat="1" x14ac:dyDescent="0.25">
      <c r="A187" s="1" t="s">
        <v>972</v>
      </c>
      <c r="B187"/>
      <c r="C187"/>
      <c r="D187"/>
      <c r="E187"/>
      <c r="F187"/>
      <c r="G187"/>
      <c r="H187"/>
      <c r="J187"/>
      <c r="K187"/>
      <c r="L187"/>
      <c r="M187"/>
      <c r="N187"/>
      <c r="O187"/>
    </row>
    <row r="188" spans="1:15" x14ac:dyDescent="0.25">
      <c r="A188" t="s">
        <v>864</v>
      </c>
      <c r="B188" t="b">
        <f>Equations!$C$17</f>
        <v>0</v>
      </c>
      <c r="C188" t="str">
        <f>IF(B188,"Motorised pressure control damper","No pressure damper")</f>
        <v>No pressure damper</v>
      </c>
      <c r="D188" t="str">
        <f>IF(B188,"Motorised pressure control damper (round spigots only - lengthened spigot)","No pressure damper")</f>
        <v>No pressure damper</v>
      </c>
      <c r="E188" t="str">
        <f>IF(B188," (motorised pressure damper selected in cell D16)","")</f>
        <v/>
      </c>
    </row>
    <row r="189" spans="1:15" x14ac:dyDescent="0.25">
      <c r="A189" t="s">
        <v>973</v>
      </c>
      <c r="B189" t="str">
        <f>IF(B188,"SE-DMPC","SE-D0")</f>
        <v>SE-D0</v>
      </c>
      <c r="C189" t="s">
        <v>975</v>
      </c>
    </row>
    <row r="190" spans="1:15" x14ac:dyDescent="0.25">
      <c r="A190" t="s">
        <v>974</v>
      </c>
      <c r="B190" t="str">
        <f>IF(B188,"TE-DMPC","TE-D0")</f>
        <v>TE-D0</v>
      </c>
      <c r="C190" t="s">
        <v>976</v>
      </c>
    </row>
    <row r="192" spans="1:15" x14ac:dyDescent="0.25">
      <c r="A192" t="s">
        <v>977</v>
      </c>
    </row>
    <row r="193" spans="1:15" x14ac:dyDescent="0.25">
      <c r="A193" t="s">
        <v>104</v>
      </c>
      <c r="B193" t="str">
        <f ca="1">F150 &amp; " " &amp; LOWER(E185)</f>
        <v>DN200 mm (default) side entry spigot</v>
      </c>
    </row>
    <row r="194" spans="1:15" x14ac:dyDescent="0.25">
      <c r="A194" t="s">
        <v>978</v>
      </c>
      <c r="B194" t="str">
        <f>E185</f>
        <v>Side entry spigot</v>
      </c>
    </row>
    <row r="195" spans="1:15" x14ac:dyDescent="0.25">
      <c r="A195" t="s">
        <v>979</v>
      </c>
      <c r="B195" t="str">
        <f>F185</f>
        <v>No pressure damper</v>
      </c>
    </row>
    <row r="196" spans="1:15" s="166" customFormat="1" x14ac:dyDescent="0.25">
      <c r="A196" s="166" t="s">
        <v>984</v>
      </c>
      <c r="B196" t="str">
        <f>G185</f>
        <v>No pressure damper</v>
      </c>
      <c r="C196"/>
      <c r="D196"/>
      <c r="E196"/>
      <c r="F196"/>
      <c r="G196"/>
      <c r="H196"/>
      <c r="I196"/>
      <c r="J196"/>
      <c r="K196"/>
      <c r="L196"/>
      <c r="M196"/>
      <c r="N196"/>
      <c r="O196"/>
    </row>
    <row r="197" spans="1:15" s="166" customFormat="1" x14ac:dyDescent="0.25">
      <c r="C197"/>
      <c r="D197"/>
      <c r="E197"/>
      <c r="F197"/>
      <c r="G197"/>
      <c r="H197" t="s">
        <v>801</v>
      </c>
      <c r="I197"/>
      <c r="J197"/>
      <c r="K197"/>
      <c r="L197"/>
      <c r="M197"/>
      <c r="N197"/>
      <c r="O197"/>
    </row>
    <row r="198" spans="1:15" s="166" customFormat="1" x14ac:dyDescent="0.25">
      <c r="A198" t="s">
        <v>865</v>
      </c>
      <c r="B198" t="b">
        <v>0</v>
      </c>
      <c r="C198"/>
      <c r="D198"/>
      <c r="E198"/>
      <c r="F198"/>
      <c r="G198"/>
      <c r="H198" t="s">
        <v>334</v>
      </c>
      <c r="I198" t="s">
        <v>808</v>
      </c>
      <c r="J198" t="s">
        <v>808</v>
      </c>
      <c r="K198"/>
      <c r="L198"/>
      <c r="M198"/>
      <c r="N198"/>
      <c r="O198"/>
    </row>
    <row r="199" spans="1:15" s="166" customFormat="1" x14ac:dyDescent="0.25">
      <c r="A199" t="s">
        <v>866</v>
      </c>
      <c r="B199">
        <f>IF(B198,1,0)</f>
        <v>0</v>
      </c>
      <c r="C199"/>
      <c r="D199"/>
      <c r="E199"/>
      <c r="F199"/>
      <c r="G199"/>
      <c r="H199" t="s">
        <v>796</v>
      </c>
      <c r="I199" t="s">
        <v>789</v>
      </c>
      <c r="J199" t="s">
        <v>861</v>
      </c>
      <c r="K199"/>
      <c r="L199"/>
      <c r="M199"/>
      <c r="N199"/>
      <c r="O199"/>
    </row>
    <row r="200" spans="1:15" s="166" customFormat="1" x14ac:dyDescent="0.25">
      <c r="A200" s="166" t="s">
        <v>867</v>
      </c>
      <c r="B200" s="166" t="str">
        <f>IF(B188,"Checkbox N/A - Selected in Cell E16", "Spigot with Integrated Gravity Pressure Relief Damper")</f>
        <v>Spigot with Integrated Gravity Pressure Relief Damper</v>
      </c>
      <c r="H200" t="s">
        <v>797</v>
      </c>
      <c r="I200" t="s">
        <v>790</v>
      </c>
      <c r="J200" t="s">
        <v>860</v>
      </c>
    </row>
    <row r="201" spans="1:15" s="166" customFormat="1" x14ac:dyDescent="0.25">
      <c r="H201" t="s">
        <v>812</v>
      </c>
      <c r="I201" t="s">
        <v>260</v>
      </c>
      <c r="J201" t="s">
        <v>814</v>
      </c>
    </row>
    <row r="202" spans="1:15" s="166" customFormat="1" x14ac:dyDescent="0.25">
      <c r="H202" t="s">
        <v>850</v>
      </c>
      <c r="I202" t="s">
        <v>852</v>
      </c>
      <c r="J202" t="s">
        <v>851</v>
      </c>
    </row>
    <row r="203" spans="1:15" s="166" customFormat="1" x14ac:dyDescent="0.25">
      <c r="B203" s="166" t="s">
        <v>420</v>
      </c>
      <c r="C203" s="166" t="s">
        <v>499</v>
      </c>
      <c r="D203" s="166" t="s">
        <v>800</v>
      </c>
      <c r="E203" s="166" t="s">
        <v>155</v>
      </c>
      <c r="H203" s="166" t="s">
        <v>872</v>
      </c>
      <c r="I203" s="166" t="s">
        <v>871</v>
      </c>
      <c r="J203" t="s">
        <v>814</v>
      </c>
    </row>
    <row r="204" spans="1:15" s="166" customFormat="1" x14ac:dyDescent="0.25">
      <c r="B204" s="166">
        <v>0</v>
      </c>
      <c r="C204" s="166" t="str">
        <f>H210</f>
        <v>D0</v>
      </c>
      <c r="D204" s="166" t="str">
        <f>I210</f>
        <v>No pressure damper</v>
      </c>
      <c r="E204" s="166" t="str">
        <f>J210</f>
        <v>No pressure damper</v>
      </c>
    </row>
    <row r="205" spans="1:15" s="166" customFormat="1" x14ac:dyDescent="0.25">
      <c r="A205" s="460" t="s">
        <v>786</v>
      </c>
      <c r="B205" s="460">
        <v>1</v>
      </c>
      <c r="C205" s="460" t="str">
        <f>IF(Equations!C17,Data!H211,IF($B$166,H213,H212))</f>
        <v>D.N/A</v>
      </c>
      <c r="D205" s="460" t="str" cm="1">
        <f t="array" ref="D205:E205">VLOOKUP(C205,$H$210:$J$213,{2,3},0)</f>
        <v>Checkbox N/A (side entry only)</v>
      </c>
      <c r="E205" s="460" t="str">
        <v>Invalid spigot selection</v>
      </c>
      <c r="F205" s="460"/>
    </row>
    <row r="206" spans="1:15" s="166" customFormat="1" x14ac:dyDescent="0.25">
      <c r="A206" s="164" t="s">
        <v>174</v>
      </c>
      <c r="B206" s="166">
        <f>IF(B188,1,B199)</f>
        <v>0</v>
      </c>
      <c r="C206" s="164" t="str" cm="1">
        <f t="array" ref="C206:E206">VLOOKUP(B206,B204:E205,{2,3,4},0)</f>
        <v>D0</v>
      </c>
      <c r="D206" s="164" t="str">
        <v>No pressure damper</v>
      </c>
      <c r="E206" s="164" t="str">
        <v>No pressure damper</v>
      </c>
      <c r="F206" s="164"/>
    </row>
    <row r="207" spans="1:15" s="166" customFormat="1" x14ac:dyDescent="0.25">
      <c r="A207" s="164" t="s">
        <v>817</v>
      </c>
      <c r="B207" s="164" t="b">
        <f ca="1">AND(NOT(B166),NOT(K367))</f>
        <v>0</v>
      </c>
      <c r="C207" s="164"/>
      <c r="D207" s="164"/>
      <c r="E207" s="164"/>
      <c r="F207" s="164"/>
    </row>
    <row r="208" spans="1:15" s="166" customFormat="1" x14ac:dyDescent="0.25"/>
    <row r="209" spans="1:10" s="166" customFormat="1" x14ac:dyDescent="0.25"/>
    <row r="210" spans="1:10" x14ac:dyDescent="0.25">
      <c r="A210" s="1" t="s">
        <v>617</v>
      </c>
      <c r="H210" s="166" t="s">
        <v>334</v>
      </c>
      <c r="I210" t="s">
        <v>808</v>
      </c>
      <c r="J210" t="s">
        <v>808</v>
      </c>
    </row>
    <row r="211" spans="1:10" x14ac:dyDescent="0.25">
      <c r="A211" t="s">
        <v>174</v>
      </c>
      <c r="B211" t="s">
        <v>499</v>
      </c>
      <c r="C211" t="s">
        <v>501</v>
      </c>
      <c r="H211" t="s">
        <v>797</v>
      </c>
      <c r="I211" s="166" t="s">
        <v>873</v>
      </c>
      <c r="J211" t="s">
        <v>860</v>
      </c>
    </row>
    <row r="212" spans="1:10" x14ac:dyDescent="0.25">
      <c r="A212">
        <v>1</v>
      </c>
      <c r="B212" t="s">
        <v>848</v>
      </c>
      <c r="C212" t="s">
        <v>572</v>
      </c>
      <c r="H212" t="s">
        <v>796</v>
      </c>
      <c r="I212" s="166" t="s">
        <v>870</v>
      </c>
      <c r="J212" t="s">
        <v>861</v>
      </c>
    </row>
    <row r="213" spans="1:10" x14ac:dyDescent="0.25">
      <c r="A213">
        <v>2</v>
      </c>
      <c r="B213" t="s">
        <v>675</v>
      </c>
      <c r="C213" t="s">
        <v>573</v>
      </c>
      <c r="H213" s="166" t="s">
        <v>872</v>
      </c>
      <c r="I213" s="166" t="s">
        <v>871</v>
      </c>
      <c r="J213" t="s">
        <v>953</v>
      </c>
    </row>
    <row r="214" spans="1:10" x14ac:dyDescent="0.25">
      <c r="A214" s="141">
        <v>3</v>
      </c>
      <c r="B214" s="141" t="s">
        <v>849</v>
      </c>
      <c r="C214" s="141" t="s">
        <v>674</v>
      </c>
      <c r="D214" s="141"/>
    </row>
    <row r="215" spans="1:10" x14ac:dyDescent="0.25">
      <c r="A215">
        <v>3</v>
      </c>
      <c r="B215" t="str" cm="1">
        <f t="array" ref="B215:C215">VLOOKUP(A215,A212:C214,{2,3},0)</f>
        <v>BCN</v>
      </c>
      <c r="C215" t="str">
        <v>Networked Diffuser</v>
      </c>
    </row>
    <row r="217" spans="1:10" x14ac:dyDescent="0.25">
      <c r="A217" s="1" t="s">
        <v>798</v>
      </c>
    </row>
    <row r="218" spans="1:10" x14ac:dyDescent="0.25">
      <c r="A218" s="1" t="s">
        <v>103</v>
      </c>
      <c r="B218" s="1" t="s">
        <v>104</v>
      </c>
      <c r="C218" s="1" t="s">
        <v>253</v>
      </c>
      <c r="E218" s="1" t="s">
        <v>254</v>
      </c>
      <c r="F218" s="1" t="s">
        <v>172</v>
      </c>
      <c r="G218" s="1"/>
    </row>
    <row r="219" spans="1:10" x14ac:dyDescent="0.25">
      <c r="A219" t="s">
        <v>503</v>
      </c>
      <c r="B219" t="str">
        <f>B46&amp;"-"</f>
        <v>DN355-</v>
      </c>
      <c r="C219" t="str">
        <f>B56&amp;"-"</f>
        <v>S595-</v>
      </c>
      <c r="E219" t="str">
        <f ca="1">$D$122&amp;$C$160&amp;"-"</f>
        <v>KF250R1-</v>
      </c>
      <c r="F219" t="str">
        <f ca="1">D150</f>
        <v>SD200</v>
      </c>
    </row>
    <row r="220" spans="1:10" x14ac:dyDescent="0.25">
      <c r="A220" s="1" t="s">
        <v>799</v>
      </c>
      <c r="B220" s="1" t="s">
        <v>105</v>
      </c>
      <c r="C220" s="1" t="s">
        <v>806</v>
      </c>
      <c r="D220" s="1" t="s">
        <v>668</v>
      </c>
      <c r="E220" s="1" t="s">
        <v>669</v>
      </c>
      <c r="F220" s="1" t="s">
        <v>105</v>
      </c>
    </row>
    <row r="221" spans="1:10" x14ac:dyDescent="0.25">
      <c r="A221" s="530" t="s">
        <v>713</v>
      </c>
      <c r="B221" t="str">
        <f>B91&amp;"-"</f>
        <v>RAL9003-</v>
      </c>
      <c r="C221" t="str">
        <f>C185&amp;"-"</f>
        <v>SE-D0-</v>
      </c>
      <c r="D221" t="str">
        <f>C69&amp;"-"</f>
        <v>SC-</v>
      </c>
      <c r="E221" t="str">
        <f>B83</f>
        <v>W0</v>
      </c>
    </row>
    <row r="222" spans="1:10" ht="15.75" x14ac:dyDescent="0.25">
      <c r="A222" s="505" t="s">
        <v>811</v>
      </c>
      <c r="B222" t="str">
        <f ca="1">_xlfn.CONCAT(A219:F219)</f>
        <v>SMARTEMP HSC-VS-DN355-S595-KF250R1-SD200</v>
      </c>
    </row>
    <row r="223" spans="1:10" ht="15.75" x14ac:dyDescent="0.25">
      <c r="A223" s="505" t="s">
        <v>787</v>
      </c>
      <c r="B223" t="str">
        <f>_xlfn.CONCAT(A221:E221)</f>
        <v>-RAL9003-SE-D0-SC-W0</v>
      </c>
    </row>
    <row r="224" spans="1:10" ht="15.75" x14ac:dyDescent="0.25">
      <c r="A224" s="505" t="s">
        <v>99</v>
      </c>
      <c r="B224" t="str">
        <f ca="1">_diffusercode&amp;_acc.code</f>
        <v>SMARTEMP HSC-VS-DN355-S595-KF250R1-SD200-RAL9003-SE-D0-SC-W0</v>
      </c>
    </row>
    <row r="226" spans="1:6" x14ac:dyDescent="0.25">
      <c r="A226" s="1" t="s">
        <v>152</v>
      </c>
    </row>
    <row r="227" spans="1:6" x14ac:dyDescent="0.25">
      <c r="A227">
        <v>0</v>
      </c>
      <c r="B227" t="str" cm="1">
        <f t="array" aca="1" ref="B227:B264" ca="1">OFFSET(Equations!$B$600,Data!$A$227,0,Data!$A$265)</f>
        <v>Selection?</v>
      </c>
      <c r="C227" s="6" cm="1">
        <f t="array" aca="1" ref="C227:C264" ca="1">OFFSET(Equations!$B$600,Data!$A$227,Data!$B$6+1,Data!$A$265)</f>
        <v>5</v>
      </c>
      <c r="F227" t="s">
        <v>243</v>
      </c>
    </row>
    <row r="228" spans="1:6" x14ac:dyDescent="0.25">
      <c r="A228">
        <v>1</v>
      </c>
      <c r="B228" t="str">
        <f ca="1"/>
        <v>Door</v>
      </c>
      <c r="C228" s="384" t="str">
        <f ca="1"/>
        <v>D5</v>
      </c>
    </row>
    <row r="229" spans="1:6" x14ac:dyDescent="0.25">
      <c r="A229">
        <v>2</v>
      </c>
      <c r="B229" t="str">
        <f ca="1"/>
        <v>Airflow @ 100% Damper and 40 Pa</v>
      </c>
      <c r="C229" s="6">
        <f ca="1"/>
        <v>116</v>
      </c>
      <c r="D229" t="s">
        <v>6</v>
      </c>
      <c r="F229" t="str">
        <f ca="1">CONCATENATE(Data!C229," ",Data!D229," @ ",Data!C232," ",Data!D232," (static)","; damper open to "&amp;F233)</f>
        <v>116 L/s @ 0.78 Pa (static); damper open to 2950%</v>
      </c>
    </row>
    <row r="230" spans="1:6" x14ac:dyDescent="0.25">
      <c r="A230">
        <v>3</v>
      </c>
      <c r="B230" t="str">
        <f ca="1"/>
        <v>Max Airflow</v>
      </c>
      <c r="C230" s="6">
        <f ca="1"/>
        <v>100</v>
      </c>
      <c r="D230" t="str">
        <f>Equations!$E$3</f>
        <v>L/s</v>
      </c>
    </row>
    <row r="231" spans="1:6" x14ac:dyDescent="0.25">
      <c r="A231">
        <v>4</v>
      </c>
      <c r="B231" t="str">
        <f ca="1"/>
        <v>Selected Design Pressure</v>
      </c>
      <c r="C231" s="6" t="str">
        <f ca="1"/>
        <v>40.0</v>
      </c>
      <c r="D231" t="s">
        <v>8</v>
      </c>
      <c r="F231" t="str">
        <f ca="1">Data!C231 &amp; " " &amp; Data!D231 &amp; IF(E234=100," (CAV)"," (VAV turndown to " &amp; E234 &amp; "%)")</f>
        <v>40.0 Pa (VAV turndown to 30%)</v>
      </c>
    </row>
    <row r="232" spans="1:6" x14ac:dyDescent="0.25">
      <c r="A232">
        <v>5</v>
      </c>
      <c r="B232" t="str">
        <f ca="1"/>
        <v>Damper Position at 100 L/s and 40 Pa</v>
      </c>
      <c r="C232" s="6">
        <f ca="1"/>
        <v>0.78</v>
      </c>
      <c r="D232" t="s">
        <v>8</v>
      </c>
      <c r="F232" t="str">
        <f ca="1">C232&amp;" "&amp;D232 &amp; " (turndown to " &amp; E234 &amp; "%) "&amp;  " @ ΔT(supply - room) = "&amp;B273&amp;" K"</f>
        <v>0.78 Pa (turndown to 30%)  @ ΔT(supply - room) = -12.0 K</v>
      </c>
    </row>
    <row r="233" spans="1:6" x14ac:dyDescent="0.25">
      <c r="A233">
        <v>6</v>
      </c>
      <c r="B233" t="str">
        <f ca="1"/>
        <v>Static Pressure @ 100% Airflow [Pa]</v>
      </c>
      <c r="C233" s="385">
        <f ca="1"/>
        <v>29.5</v>
      </c>
      <c r="D233" t="s">
        <v>14</v>
      </c>
      <c r="E233">
        <f ca="1">C233*100</f>
        <v>2950</v>
      </c>
      <c r="F233" t="str">
        <f ca="1">E233&amp;"%"</f>
        <v>2950%</v>
      </c>
    </row>
    <row r="234" spans="1:6" x14ac:dyDescent="0.25">
      <c r="A234">
        <v>7</v>
      </c>
      <c r="B234" t="str">
        <f ca="1"/>
        <v>Selected Turndown to</v>
      </c>
      <c r="C234" s="385">
        <f ca="1"/>
        <v>0.3</v>
      </c>
      <c r="D234" t="s">
        <v>14</v>
      </c>
      <c r="E234">
        <f ca="1">C234*100</f>
        <v>30</v>
      </c>
    </row>
    <row r="235" spans="1:6" x14ac:dyDescent="0.25">
      <c r="A235">
        <v>8</v>
      </c>
      <c r="B235" t="str">
        <f ca="1"/>
        <v>Min Selected Airflow</v>
      </c>
      <c r="C235" s="207">
        <f ca="1"/>
        <v>30</v>
      </c>
      <c r="D235" t="str">
        <f>Equations!$E$3</f>
        <v>L/s</v>
      </c>
      <c r="F235" t="s">
        <v>519</v>
      </c>
    </row>
    <row r="236" spans="1:6" x14ac:dyDescent="0.25">
      <c r="A236">
        <v>9</v>
      </c>
      <c r="B236" t="str">
        <f ca="1"/>
        <v>Min Permissible % Turndown to</v>
      </c>
      <c r="C236" s="207">
        <f ca="1"/>
        <v>0.10100000000000001</v>
      </c>
      <c r="D236" t="str">
        <f>Equations!$E$3</f>
        <v>L/s</v>
      </c>
    </row>
    <row r="237" spans="1:6" x14ac:dyDescent="0.25">
      <c r="A237">
        <v>10</v>
      </c>
      <c r="B237" s="148" t="str">
        <f ca="1"/>
        <v xml:space="preserve">Min Permissible Airflow </v>
      </c>
      <c r="C237" s="386">
        <f ca="1"/>
        <v>10.1</v>
      </c>
      <c r="D237" t="s">
        <v>8</v>
      </c>
      <c r="E237" s="148"/>
      <c r="F237" t="str">
        <f ca="1">C237&amp;" "&amp;D237</f>
        <v>10.1 Pa</v>
      </c>
    </row>
    <row r="238" spans="1:6" x14ac:dyDescent="0.25">
      <c r="A238">
        <v>11</v>
      </c>
      <c r="B238" s="508" t="str">
        <f ca="1"/>
        <v xml:space="preserve">Max ΔT (heating) - Centre Zone [K] </v>
      </c>
      <c r="C238" s="386">
        <f ca="1"/>
        <v>12.9</v>
      </c>
      <c r="D238" s="148" t="s">
        <v>10</v>
      </c>
      <c r="E238" s="148"/>
      <c r="F238" t="str">
        <f ca="1">TEXT(C238,"+ 0.0")&amp;" "&amp;D238</f>
        <v>+ 12.9 K</v>
      </c>
    </row>
    <row r="239" spans="1:6" x14ac:dyDescent="0.25">
      <c r="A239">
        <v>12</v>
      </c>
      <c r="B239" s="508" t="str">
        <f ca="1"/>
        <v xml:space="preserve">Max ΔT (heating) - Perimeter [K] </v>
      </c>
      <c r="C239" s="386">
        <f ca="1"/>
        <v>8.6</v>
      </c>
      <c r="D239" s="148" t="s">
        <v>10</v>
      </c>
      <c r="E239" s="148"/>
      <c r="F239" t="str">
        <f ca="1">TEXT(C239,"+ 0.0")&amp;" "&amp;D239</f>
        <v>+ 8.6 K</v>
      </c>
    </row>
    <row r="240" spans="1:6" x14ac:dyDescent="0.25">
      <c r="A240">
        <v>13</v>
      </c>
      <c r="B240" s="509" t="str">
        <f ca="1"/>
        <v>Max Centreline Distance (centre) [m]</v>
      </c>
      <c r="C240" s="386">
        <f ca="1"/>
        <v>9.3000000000000007</v>
      </c>
      <c r="D240" s="148" t="s">
        <v>12</v>
      </c>
      <c r="E240" s="148"/>
      <c r="F240" t="str">
        <f ca="1">TEXT(C240,"0.0")&amp;" m"</f>
        <v>9.3 m</v>
      </c>
    </row>
    <row r="241" spans="1:6" ht="14.25" customHeight="1" x14ac:dyDescent="0.25">
      <c r="A241">
        <v>14</v>
      </c>
      <c r="B241" s="509" t="str">
        <f ca="1"/>
        <v>Max Centreline Distance Perimeter [m]</v>
      </c>
      <c r="C241" s="387">
        <f ca="1"/>
        <v>8.6</v>
      </c>
      <c r="D241" s="148" t="s">
        <v>12</v>
      </c>
      <c r="E241" s="148"/>
      <c r="F241" t="str">
        <f t="shared" ref="F241:F243" ca="1" si="11">TEXT(C241,"0.0")&amp;" m"</f>
        <v>8.6 m</v>
      </c>
    </row>
    <row r="242" spans="1:6" x14ac:dyDescent="0.25">
      <c r="A242">
        <v>15</v>
      </c>
      <c r="B242" s="510" t="str">
        <f ca="1"/>
        <v>Min Centreline Distance [m]</v>
      </c>
      <c r="C242" s="6">
        <f ca="1"/>
        <v>2.5</v>
      </c>
      <c r="D242" s="148" t="s">
        <v>12</v>
      </c>
      <c r="F242" t="str">
        <f t="shared" ca="1" si="11"/>
        <v>2.5 m</v>
      </c>
    </row>
    <row r="243" spans="1:6" x14ac:dyDescent="0.25">
      <c r="A243">
        <v>16</v>
      </c>
      <c r="B243" s="510" t="str">
        <f ca="1"/>
        <v>Min Permissible Diffuser Height [m]</v>
      </c>
      <c r="C243" s="6">
        <f ca="1"/>
        <v>2.2000000000000002</v>
      </c>
      <c r="D243" s="148" t="s">
        <v>12</v>
      </c>
      <c r="F243" t="str">
        <f t="shared" ca="1" si="11"/>
        <v>2.2 m</v>
      </c>
    </row>
    <row r="244" spans="1:6" x14ac:dyDescent="0.25">
      <c r="A244">
        <v>17</v>
      </c>
      <c r="B244" s="511" t="str">
        <f ca="1"/>
        <v>Mean Room Air Velocity [m/s]</v>
      </c>
      <c r="C244" s="6">
        <f ca="1"/>
        <v>0.12</v>
      </c>
      <c r="D244" s="148" t="s">
        <v>120</v>
      </c>
    </row>
    <row r="245" spans="1:6" x14ac:dyDescent="0.25">
      <c r="A245">
        <v>18</v>
      </c>
      <c r="B245" s="511" t="str">
        <f ca="1"/>
        <v>Mean Draught Rating (DR)</v>
      </c>
      <c r="C245" s="6">
        <f ca="1"/>
        <v>0.10100000000000001</v>
      </c>
    </row>
    <row r="246" spans="1:6" x14ac:dyDescent="0.25">
      <c r="A246">
        <v>19</v>
      </c>
      <c r="B246" s="511" t="str">
        <f ca="1"/>
        <v>Mean PPD</v>
      </c>
      <c r="C246" s="6">
        <f ca="1"/>
        <v>0.06</v>
      </c>
    </row>
    <row r="247" spans="1:6" x14ac:dyDescent="0.25">
      <c r="A247">
        <v>20</v>
      </c>
      <c r="B247" s="511" t="str">
        <f ca="1"/>
        <v>Satisfies PPD Category (ISO7730)</v>
      </c>
      <c r="C247" s="6" t="str">
        <f ca="1"/>
        <v>B</v>
      </c>
    </row>
    <row r="248" spans="1:6" x14ac:dyDescent="0.25">
      <c r="A248">
        <v>21</v>
      </c>
      <c r="B248" s="511" t="str">
        <f ca="1"/>
        <v>PMV</v>
      </c>
      <c r="C248" s="6" t="str">
        <f ca="1"/>
        <v>&lt; 0.2</v>
      </c>
    </row>
    <row r="249" spans="1:6" x14ac:dyDescent="0.25">
      <c r="A249">
        <v>22</v>
      </c>
      <c r="B249" s="1" t="str">
        <f ca="1"/>
        <v>350 mm 
High-Profile Connection Box</v>
      </c>
      <c r="C249" s="6" t="str">
        <f ca="1"/>
        <v>DN200</v>
      </c>
      <c r="F249" t="str">
        <f ca="1">IF(C249="N/A","H350 not recommended","H350-"&amp;C249)</f>
        <v>H350-DN200</v>
      </c>
    </row>
    <row r="250" spans="1:6" x14ac:dyDescent="0.25">
      <c r="A250">
        <v>23</v>
      </c>
      <c r="B250" t="str">
        <f ca="1"/>
        <v>Static Pressure</v>
      </c>
      <c r="C250" s="6">
        <f ca="1"/>
        <v>44.5</v>
      </c>
      <c r="D250" t="s">
        <v>8</v>
      </c>
      <c r="F250" t="str">
        <f ca="1">CONCATENATE(Data!$C$229," ",Data!$D$229," @ ",Data!C250," ",Data!D250," (static)")</f>
        <v>116 L/s @ 44.5 Pa (static)</v>
      </c>
    </row>
    <row r="251" spans="1:6" x14ac:dyDescent="0.25">
      <c r="A251">
        <v>24</v>
      </c>
      <c r="B251" t="str">
        <f ca="1"/>
        <v>Total Pressure Adj</v>
      </c>
      <c r="C251" s="6">
        <f ca="1"/>
        <v>50.7</v>
      </c>
      <c r="D251" t="s">
        <v>8</v>
      </c>
      <c r="F251" t="str">
        <f ca="1">CONCATENATE(Data!$C$229," ",Data!$D$229," @ ",Data!C251," ",Data!D251," (total)")</f>
        <v>116 L/s @ 50.7 Pa (total)</v>
      </c>
    </row>
    <row r="252" spans="1:6" x14ac:dyDescent="0.25">
      <c r="A252">
        <v>25</v>
      </c>
      <c r="B252" t="str">
        <f ca="1"/>
        <v>SWL Adj</v>
      </c>
      <c r="C252" s="6">
        <f ca="1"/>
        <v>38.5</v>
      </c>
      <c r="D252" t="s">
        <v>539</v>
      </c>
      <c r="F252" t="str">
        <f ca="1">TEXT(C252,"0.0")&amp;" "&amp;D252</f>
        <v>38.5 db(A)</v>
      </c>
    </row>
    <row r="253" spans="1:6" x14ac:dyDescent="0.25">
      <c r="A253">
        <v>26</v>
      </c>
      <c r="B253" t="str">
        <f ca="1"/>
        <v>SPL Adj</v>
      </c>
      <c r="C253" s="6">
        <f ca="1"/>
        <v>23.5</v>
      </c>
      <c r="D253" t="s">
        <v>163</v>
      </c>
      <c r="F253" t="str">
        <f ca="1">TEXT(C253,"0.0")&amp;" "&amp;D253</f>
        <v>23.5 NC</v>
      </c>
    </row>
    <row r="254" spans="1:6" x14ac:dyDescent="0.25">
      <c r="A254">
        <v>27</v>
      </c>
      <c r="B254" s="1" t="str">
        <f ca="1"/>
        <v>250 mm 
Medium-Profile Connection Box</v>
      </c>
      <c r="C254" s="6" t="str">
        <f ca="1"/>
        <v>DN200</v>
      </c>
      <c r="F254" t="str">
        <f ca="1">IF(C254="N/A","H250 not recommended","H250-"&amp;C254)</f>
        <v>H250-DN200</v>
      </c>
    </row>
    <row r="255" spans="1:6" x14ac:dyDescent="0.25">
      <c r="A255">
        <v>28</v>
      </c>
      <c r="B255" t="str">
        <f ca="1"/>
        <v>Static Pressure</v>
      </c>
      <c r="C255" s="6">
        <f ca="1"/>
        <v>46.2</v>
      </c>
      <c r="D255" t="s">
        <v>8</v>
      </c>
      <c r="F255" t="str">
        <f ca="1">CONCATENATE(Data!$C$229," ",Data!$D$229," @ ",Data!C255," ",Data!D255," (static)")</f>
        <v>116 L/s @ 46.2 Pa (static)</v>
      </c>
    </row>
    <row r="256" spans="1:6" x14ac:dyDescent="0.25">
      <c r="A256">
        <v>29</v>
      </c>
      <c r="B256" t="str">
        <f ca="1"/>
        <v>Total Pressure</v>
      </c>
      <c r="C256" s="6">
        <f ca="1"/>
        <v>52.8</v>
      </c>
      <c r="D256" t="s">
        <v>8</v>
      </c>
      <c r="F256" t="str">
        <f ca="1">CONCATENATE(Data!$C$229," ",Data!$D$229," @ ",Data!C256," ",Data!D256," (total)")</f>
        <v>116 L/s @ 52.8 Pa (total)</v>
      </c>
    </row>
    <row r="257" spans="1:6" x14ac:dyDescent="0.25">
      <c r="A257">
        <v>30</v>
      </c>
      <c r="B257" t="str">
        <f ca="1"/>
        <v>SWL Adj</v>
      </c>
      <c r="C257" s="6">
        <f ca="1"/>
        <v>40</v>
      </c>
      <c r="D257" t="s">
        <v>539</v>
      </c>
      <c r="F257" t="str">
        <f ca="1">TEXT(C257,"0.0")&amp;" "&amp;D257</f>
        <v>40.0 db(A)</v>
      </c>
    </row>
    <row r="258" spans="1:6" x14ac:dyDescent="0.25">
      <c r="A258">
        <v>31</v>
      </c>
      <c r="B258" t="str">
        <f ca="1"/>
        <v>SPL Adj</v>
      </c>
      <c r="C258" s="6">
        <f ca="1"/>
        <v>25</v>
      </c>
      <c r="D258" t="s">
        <v>163</v>
      </c>
      <c r="F258" t="str">
        <f ca="1">TEXT(C258,"0.0")&amp;" "&amp;D258</f>
        <v>25.0 NC</v>
      </c>
    </row>
    <row r="259" spans="1:6" x14ac:dyDescent="0.25">
      <c r="A259">
        <v>32</v>
      </c>
      <c r="B259" s="1" t="str">
        <f ca="1"/>
        <v>200 mm 
Low-Profile Connection Box</v>
      </c>
      <c r="C259" s="6" t="str">
        <f ca="1"/>
        <v>DN250</v>
      </c>
      <c r="D259" s="148"/>
      <c r="F259" t="str">
        <f ca="1">IF(C259="N/A","H200 not recommended","H200-"&amp;C259)</f>
        <v>H200-DN250</v>
      </c>
    </row>
    <row r="260" spans="1:6" x14ac:dyDescent="0.25">
      <c r="A260">
        <v>33</v>
      </c>
      <c r="B260" t="str">
        <f ca="1"/>
        <v>Static Pressure</v>
      </c>
      <c r="C260" s="6">
        <f ca="1"/>
        <v>47.5</v>
      </c>
      <c r="D260" t="s">
        <v>8</v>
      </c>
      <c r="F260" t="str">
        <f ca="1">CONCATENATE(Data!$C$229," ",Data!$D$229," @ ",Data!C260," ",Data!D260," (static)")</f>
        <v>116 L/s @ 47.5 Pa (static)</v>
      </c>
    </row>
    <row r="261" spans="1:6" x14ac:dyDescent="0.25">
      <c r="A261">
        <v>34</v>
      </c>
      <c r="B261" t="str">
        <f ca="1"/>
        <v>Total Pressure</v>
      </c>
      <c r="C261" s="6">
        <f ca="1"/>
        <v>53.3</v>
      </c>
      <c r="D261" t="s">
        <v>8</v>
      </c>
      <c r="F261" t="str">
        <f ca="1">CONCATENATE(Data!$C$229," ",Data!$D$229," @ ",Data!C261," ",Data!D261," (total)")</f>
        <v>116 L/s @ 53.3 Pa (total)</v>
      </c>
    </row>
    <row r="262" spans="1:6" x14ac:dyDescent="0.25">
      <c r="A262">
        <v>35</v>
      </c>
      <c r="B262" t="str">
        <f ca="1"/>
        <v>SWL Adj</v>
      </c>
      <c r="C262">
        <f ca="1"/>
        <v>43.8</v>
      </c>
      <c r="D262" t="s">
        <v>539</v>
      </c>
      <c r="F262" t="str">
        <f ca="1">TEXT(C262,"0.0")&amp;" "&amp;D262</f>
        <v>43.8 db(A)</v>
      </c>
    </row>
    <row r="263" spans="1:6" x14ac:dyDescent="0.25">
      <c r="A263">
        <v>36</v>
      </c>
      <c r="B263" t="str">
        <f ca="1"/>
        <v>SPL Adj</v>
      </c>
      <c r="C263">
        <f ca="1"/>
        <v>28.8</v>
      </c>
      <c r="D263" t="s">
        <v>163</v>
      </c>
      <c r="F263" t="str">
        <f ca="1">TEXT(C263,"0.0")&amp;" "&amp;D263</f>
        <v>28.8 NC</v>
      </c>
    </row>
    <row r="264" spans="1:6" x14ac:dyDescent="0.25">
      <c r="A264">
        <v>37</v>
      </c>
      <c r="B264">
        <f ca="1"/>
        <v>0</v>
      </c>
      <c r="C264">
        <f ca="1"/>
        <v>0</v>
      </c>
    </row>
    <row r="265" spans="1:6" x14ac:dyDescent="0.25">
      <c r="A265">
        <v>38</v>
      </c>
    </row>
    <row r="272" spans="1:6" x14ac:dyDescent="0.25">
      <c r="A272" s="1" t="s">
        <v>521</v>
      </c>
    </row>
    <row r="273" spans="1:10" x14ac:dyDescent="0.25">
      <c r="A273" t="s">
        <v>520</v>
      </c>
      <c r="B273" t="str">
        <f>TEXT('HSC-VS'!E19,"0.0")</f>
        <v>-12.0</v>
      </c>
      <c r="C273" t="s">
        <v>10</v>
      </c>
    </row>
    <row r="274" spans="1:10" x14ac:dyDescent="0.25">
      <c r="A274" t="s">
        <v>162</v>
      </c>
      <c r="B274" t="str">
        <f>IF(Equations!C47,"Freely Suspended", "Closed Ceiling")</f>
        <v>Closed Ceiling</v>
      </c>
    </row>
    <row r="277" spans="1:10" x14ac:dyDescent="0.25">
      <c r="A277" s="1" t="s">
        <v>524</v>
      </c>
      <c r="J277" s="213"/>
    </row>
    <row r="283" spans="1:10" x14ac:dyDescent="0.25">
      <c r="A283" s="1" t="s">
        <v>538</v>
      </c>
      <c r="B283">
        <v>2</v>
      </c>
      <c r="C283">
        <v>3</v>
      </c>
      <c r="D283">
        <v>4</v>
      </c>
    </row>
    <row r="284" spans="1:10" x14ac:dyDescent="0.25">
      <c r="A284" t="s">
        <v>104</v>
      </c>
      <c r="B284" t="s">
        <v>342</v>
      </c>
      <c r="C284" t="s">
        <v>539</v>
      </c>
      <c r="D284" t="s">
        <v>163</v>
      </c>
    </row>
    <row r="285" spans="1:10" x14ac:dyDescent="0.25">
      <c r="A285" s="6">
        <f ca="1">_xlfn.NUMBERVALUE(LEFT(B249,3))</f>
        <v>350</v>
      </c>
      <c r="B285" t="str">
        <f ca="1">F250</f>
        <v>116 L/s @ 44.5 Pa (static)</v>
      </c>
      <c r="C285" t="str">
        <f ca="1">F252</f>
        <v>38.5 db(A)</v>
      </c>
      <c r="D285" t="str">
        <f ca="1">F253</f>
        <v>23.5 NC</v>
      </c>
    </row>
    <row r="286" spans="1:10" x14ac:dyDescent="0.25">
      <c r="A286" s="6">
        <f ca="1">_xlfn.NUMBERVALUE(LEFT(B254,3))</f>
        <v>250</v>
      </c>
      <c r="B286" t="str">
        <f ca="1">F255</f>
        <v>116 L/s @ 46.2 Pa (static)</v>
      </c>
      <c r="C286" t="str">
        <f ca="1">F257</f>
        <v>40.0 db(A)</v>
      </c>
      <c r="D286" t="str">
        <f ca="1">F258</f>
        <v>25.0 NC</v>
      </c>
    </row>
    <row r="287" spans="1:10" x14ac:dyDescent="0.25">
      <c r="A287" s="647">
        <f ca="1">_xlfn.NUMBERVALUE(LEFT(B259,3))</f>
        <v>200</v>
      </c>
      <c r="B287" s="141" t="str">
        <f ca="1">F260</f>
        <v>116 L/s @ 47.5 Pa (static)</v>
      </c>
      <c r="C287" s="141" t="str">
        <f ca="1">F262</f>
        <v>43.8 db(A)</v>
      </c>
      <c r="D287" s="141" t="str">
        <f ca="1">F263</f>
        <v>28.8 NC</v>
      </c>
    </row>
    <row r="288" spans="1:10" x14ac:dyDescent="0.25">
      <c r="A288" s="1">
        <f ca="1">B122</f>
        <v>250</v>
      </c>
      <c r="B288" t="str">
        <f ca="1">IFERROR(VLOOKUP($A$288,$A$285:$D$287,B283,0),B285&amp;"*")</f>
        <v>116 L/s @ 46.2 Pa (static)</v>
      </c>
      <c r="C288" t="str">
        <f t="shared" ref="C288:D288" ca="1" si="12">IFERROR(VLOOKUP($A$288,$A$285:$D$287,C283,0),C285&amp;"*")</f>
        <v>40.0 db(A)</v>
      </c>
      <c r="D288" t="str">
        <f t="shared" ca="1" si="12"/>
        <v>25.0 NC</v>
      </c>
      <c r="E288" t="str">
        <f ca="1">IF(RIGHT(B288,1)="*","* valid for recommended box and spigot only","")</f>
        <v/>
      </c>
    </row>
    <row r="289" spans="1:6" x14ac:dyDescent="0.25">
      <c r="A289" s="1">
        <f ca="1">Equations!B465</f>
        <v>250</v>
      </c>
      <c r="B289" t="str">
        <f ca="1">VLOOKUP($A$289,$A$285:$D$287,B283,0)</f>
        <v>116 L/s @ 46.2 Pa (static)</v>
      </c>
      <c r="C289" t="str">
        <f t="shared" ref="C289:D289" ca="1" si="13">VLOOKUP($A$289,$A$285:$D$287,C283,0)</f>
        <v>40.0 db(A)</v>
      </c>
      <c r="D289" t="str">
        <f t="shared" ca="1" si="13"/>
        <v>25.0 NC</v>
      </c>
      <c r="F289" t="s">
        <v>943</v>
      </c>
    </row>
    <row r="291" spans="1:6" x14ac:dyDescent="0.25">
      <c r="A291" s="1" t="s">
        <v>153</v>
      </c>
    </row>
    <row r="292" spans="1:6" x14ac:dyDescent="0.25">
      <c r="A292" s="1"/>
      <c r="B292" t="s">
        <v>22</v>
      </c>
      <c r="C292" t="s">
        <v>296</v>
      </c>
      <c r="D292" t="s">
        <v>295</v>
      </c>
    </row>
    <row r="293" spans="1:6" x14ac:dyDescent="0.25">
      <c r="A293" s="1"/>
      <c r="B293" t="str">
        <f ca="1">F242</f>
        <v>2.5 m</v>
      </c>
      <c r="C293" s="109" t="str">
        <f ca="1">F240</f>
        <v>9.3 m</v>
      </c>
      <c r="D293" t="str">
        <f ca="1">F241</f>
        <v>8.6 m</v>
      </c>
    </row>
    <row r="294" spans="1:6" x14ac:dyDescent="0.25">
      <c r="B294" t="str">
        <f>IF(Equations!C28=1,"C Nominal",IF(Equations!C28=2,"C Selected",IF(Equations!C28=3,"C Average")))</f>
        <v>C Nominal</v>
      </c>
    </row>
    <row r="295" spans="1:6" x14ac:dyDescent="0.25">
      <c r="A295" t="s">
        <v>233</v>
      </c>
      <c r="B295" t="str">
        <f ca="1">ROUND(Equations!C405,1) &amp; " m"</f>
        <v>5.9 m</v>
      </c>
    </row>
    <row r="296" spans="1:6" x14ac:dyDescent="0.25">
      <c r="B296" t="str">
        <f ca="1">"C Max = "&amp;C293 &amp;"/"&amp;D293&amp;" (centre/perimeter zone)"</f>
        <v>C Max = 9.3 m/8.6 m (centre/perimeter zone)</v>
      </c>
    </row>
    <row r="297" spans="1:6" x14ac:dyDescent="0.25">
      <c r="B297" t="str">
        <f ca="1">"C Min = "&amp;B293</f>
        <v>C Min = 2.5 m</v>
      </c>
    </row>
    <row r="298" spans="1:6" x14ac:dyDescent="0.25">
      <c r="B298" t="str">
        <f ca="1">B294&amp;" = "&amp;B295</f>
        <v>C Nominal = 5.9 m</v>
      </c>
    </row>
    <row r="299" spans="1:6" x14ac:dyDescent="0.25">
      <c r="A299" t="s">
        <v>249</v>
      </c>
      <c r="B299" t="str">
        <f ca="1">C299&amp;" Specific Airflow Rate = " &amp; B304</f>
        <v>Nominal Specific Airflow Rate = 2.9 L/s/m²</v>
      </c>
      <c r="C299" t="str">
        <f>IF(Equations!C28=1,"Nominal",IF(Equations!C28=2,"Average",IF(Equations!C28=3,"Selected")))</f>
        <v>Nominal</v>
      </c>
    </row>
    <row r="301" spans="1:6" x14ac:dyDescent="0.25">
      <c r="B301" t="str">
        <f>"Selected Diffuser Height = "&amp;'HSC-VS'!E21 &amp;" m"</f>
        <v>Selected Diffuser Height = 2.7 m</v>
      </c>
    </row>
    <row r="302" spans="1:6" x14ac:dyDescent="0.25">
      <c r="B302" t="str">
        <f ca="1">"Min Recommended Diffuser Height = " &amp; C243&amp; " m"</f>
        <v>Min Recommended Diffuser Height = 2.2 m</v>
      </c>
    </row>
    <row r="304" spans="1:6" x14ac:dyDescent="0.25">
      <c r="A304" t="s">
        <v>684</v>
      </c>
      <c r="B304" t="str">
        <f ca="1">Equations!C403&amp;" "&amp; Equations!D4</f>
        <v>2.9 L/s/m²</v>
      </c>
    </row>
    <row r="306" spans="1:4" x14ac:dyDescent="0.25">
      <c r="A306" t="s">
        <v>246</v>
      </c>
      <c r="B306" t="str">
        <f ca="1">IF(Equations!$C$28=3,"",B296)</f>
        <v>C Max = 9.3 m/8.6 m (centre/perimeter zone)</v>
      </c>
    </row>
    <row r="307" spans="1:4" x14ac:dyDescent="0.25">
      <c r="A307" t="s">
        <v>247</v>
      </c>
      <c r="B307" t="str">
        <f ca="1">IF(Equations!$C$28=3,B296,B297)</f>
        <v>C Min = 2.5 m</v>
      </c>
      <c r="C307">
        <v>1</v>
      </c>
      <c r="D307" t="str">
        <f ca="1">"Specific Airflow Rate @ Average C = "&amp;B304</f>
        <v>Specific Airflow Rate @ Average C = 2.9 L/s/m²</v>
      </c>
    </row>
    <row r="308" spans="1:4" x14ac:dyDescent="0.25">
      <c r="A308" t="s">
        <v>248</v>
      </c>
      <c r="B308" t="str">
        <f ca="1">IF(Equations!$C$28=3,B297,B298)</f>
        <v>C Nominal = 5.9 m</v>
      </c>
      <c r="C308">
        <v>2</v>
      </c>
      <c r="D308" t="str">
        <f ca="1">"Specific Airflow Rate @ Selected C = "&amp; B304</f>
        <v>Specific Airflow Rate @ Selected C = 2.9 L/s/m²</v>
      </c>
    </row>
    <row r="310" spans="1:4" x14ac:dyDescent="0.25">
      <c r="D310" t="s">
        <v>243</v>
      </c>
    </row>
    <row r="311" spans="1:4" x14ac:dyDescent="0.25">
      <c r="A311" t="s">
        <v>19</v>
      </c>
      <c r="B311" s="150">
        <f>'HSC-VS'!M11*100</f>
        <v>90</v>
      </c>
      <c r="D311" t="str">
        <f>CONCATENATE("≥ ",B311,"%")</f>
        <v>≥ 90%</v>
      </c>
    </row>
    <row r="312" spans="1:4" x14ac:dyDescent="0.25">
      <c r="A312" t="s">
        <v>95</v>
      </c>
      <c r="B312">
        <f>'HSC-VS'!M21</f>
        <v>23</v>
      </c>
      <c r="D312" t="str">
        <f>B312&amp;" °C"</f>
        <v>23 °C</v>
      </c>
    </row>
    <row r="313" spans="1:4" x14ac:dyDescent="0.25">
      <c r="A313" t="s">
        <v>138</v>
      </c>
      <c r="B313">
        <f ca="1">C244</f>
        <v>0.12</v>
      </c>
      <c r="D313" t="str">
        <f ca="1">B313&amp; " m/s"</f>
        <v>0.12 m/s</v>
      </c>
    </row>
    <row r="314" spans="1:4" x14ac:dyDescent="0.25">
      <c r="A314" t="s">
        <v>134</v>
      </c>
      <c r="B314">
        <f ca="1">C245*100</f>
        <v>10.100000000000001</v>
      </c>
      <c r="D314" t="str">
        <f ca="1">CONCATENATE(B314, "% @ room temperature of ",D312)</f>
        <v>10.1% @ room temperature of 23 °C</v>
      </c>
    </row>
    <row r="315" spans="1:4" x14ac:dyDescent="0.25">
      <c r="A315" t="s">
        <v>135</v>
      </c>
      <c r="B315">
        <f ca="1">C246*100</f>
        <v>6</v>
      </c>
      <c r="D315" t="str">
        <f ca="1">CONCATENATE(B315, "%")</f>
        <v>6%</v>
      </c>
    </row>
    <row r="316" spans="1:4" x14ac:dyDescent="0.25">
      <c r="A316" t="s">
        <v>142</v>
      </c>
      <c r="B316" s="6" t="str">
        <f ca="1">C247</f>
        <v>B</v>
      </c>
      <c r="D316" t="str">
        <f ca="1">CONCATENATE("Category ",B316)</f>
        <v>Category B</v>
      </c>
    </row>
    <row r="317" spans="1:4" x14ac:dyDescent="0.25">
      <c r="A317" t="s">
        <v>198</v>
      </c>
      <c r="B317" s="6" t="str">
        <f ca="1">RIGHT(C248,3)</f>
        <v>0.2</v>
      </c>
      <c r="D317" s="149" t="str">
        <f ca="1">"-"&amp;Data!B317&amp; " &lt; PMV &lt; +" &amp;Data!B317</f>
        <v>-0.2 &lt; PMV &lt; +0.2</v>
      </c>
    </row>
    <row r="319" spans="1:4" x14ac:dyDescent="0.25">
      <c r="A319" t="s">
        <v>714</v>
      </c>
      <c r="B319" t="str">
        <f ca="1">"H"&amp;B122 &amp;" [mm]"</f>
        <v>H250 [mm]</v>
      </c>
    </row>
    <row r="320" spans="1:4" x14ac:dyDescent="0.25">
      <c r="A320" t="s">
        <v>715</v>
      </c>
      <c r="B320" t="str">
        <f ca="1">"DN"&amp;B131 &amp; " [mm]"</f>
        <v>DN200 [mm]</v>
      </c>
    </row>
    <row r="324" spans="1:7" x14ac:dyDescent="0.25">
      <c r="A324" s="1" t="s">
        <v>155</v>
      </c>
      <c r="B324" s="1" t="s">
        <v>508</v>
      </c>
      <c r="C324" s="1" t="s">
        <v>509</v>
      </c>
    </row>
    <row r="325" spans="1:7" x14ac:dyDescent="0.25">
      <c r="A325" s="1"/>
      <c r="C325" t="str">
        <f>"HSC-VS Diffuser "&amp;CHAR(10)</f>
        <v xml:space="preserve">HSC-VS Diffuser 
</v>
      </c>
      <c r="E325" s="211"/>
    </row>
    <row r="326" spans="1:7" ht="30.6" customHeight="1" x14ac:dyDescent="0.25">
      <c r="A326" s="1"/>
      <c r="B326" t="str">
        <f ca="1">"Recommended " &amp;C6&amp; " door setting (adjusted on-site)"</f>
        <v>Recommended D5 door setting (adjusted on-site)</v>
      </c>
      <c r="C326" t="str">
        <f ca="1">"• "&amp;B326&amp;CHAR(10)</f>
        <v xml:space="preserve">• Recommended D5 door setting (adjusted on-site)
</v>
      </c>
      <c r="E326" s="211"/>
    </row>
    <row r="327" spans="1:7" ht="158.44999999999999" customHeight="1" x14ac:dyDescent="0.25">
      <c r="A327" s="1"/>
      <c r="B327" s="211" t="s">
        <v>825</v>
      </c>
      <c r="C327" s="211" t="str">
        <f>B327&amp;CHAR(10)&amp;F69</f>
        <v xml:space="preserve">Standard On-Board Sensors
• Supply Temperature
• Room Temperature
• Supply Pressure
Optional On-board sensors
• IAQ Sensor (CO₂ + RH)
</v>
      </c>
    </row>
    <row r="328" spans="1:7" ht="101.45" customHeight="1" x14ac:dyDescent="0.25">
      <c r="A328" s="1"/>
      <c r="B328" s="355" t="str">
        <f>"HMI Options"&amp;CHAR(10)&amp;F89</f>
        <v xml:space="preserve">HMI Options
• No wall stat selected
     • Room Temp
</v>
      </c>
      <c r="C328" s="211"/>
    </row>
    <row r="329" spans="1:7" x14ac:dyDescent="0.25">
      <c r="B329" t="str">
        <f>'HSC-VS'!M9&amp;" discharge" &amp; D329</f>
        <v>4 Way (360°) discharge</v>
      </c>
      <c r="C329" t="str">
        <f>"• "&amp;B329&amp;CHAR(10)</f>
        <v xml:space="preserve">• 4 Way (360°) discharge
</v>
      </c>
      <c r="D329" t="str">
        <f>IF(LEFT('HSC-VS'!M9,1)="4",""," (adjusted on site)")</f>
        <v/>
      </c>
      <c r="F329" t="str">
        <f>"Connection Box Details"&amp;CHAR(10)</f>
        <v xml:space="preserve">Connection Box Details
</v>
      </c>
    </row>
    <row r="330" spans="1:7" x14ac:dyDescent="0.25">
      <c r="A330" s="1"/>
      <c r="B330" t="str">
        <f>C56</f>
        <v>□ 595 mm square face</v>
      </c>
      <c r="C330" t="str">
        <f t="shared" ref="C330:C331" si="14">"• "&amp;B330&amp;CHAR(10)</f>
        <v xml:space="preserve">• □ 595 mm square face
</v>
      </c>
      <c r="F330" t="str">
        <f ca="1">"•" &amp; " " &amp;G330 &amp; CHAR(10)</f>
        <v xml:space="preserve">• 250 mm high box (default)
</v>
      </c>
      <c r="G330" t="str">
        <f ca="1">C122</f>
        <v>250 mm high box (default)</v>
      </c>
    </row>
    <row r="331" spans="1:7" x14ac:dyDescent="0.25">
      <c r="B331" t="str">
        <f>"Powder coated to "&amp;B92</f>
        <v>Powder coated to RAL9003</v>
      </c>
      <c r="C331" t="str">
        <f t="shared" si="14"/>
        <v xml:space="preserve">• Powder coated to RAL9003
</v>
      </c>
      <c r="F331" t="str">
        <f t="shared" ref="F331:F333" si="15">"•" &amp; " " &amp;G331 &amp; CHAR(10)</f>
        <v xml:space="preserve">• Foam box with R1 insulation
</v>
      </c>
      <c r="G331" t="str">
        <f>B161</f>
        <v>Foam box with R1 insulation</v>
      </c>
    </row>
    <row r="332" spans="1:7" x14ac:dyDescent="0.25">
      <c r="B332" t="str">
        <f ca="1">E122</f>
        <v>250 mm high box (default based on flow rate)</v>
      </c>
      <c r="F332" t="str">
        <f t="shared" ca="1" si="15"/>
        <v xml:space="preserve">• DN200 mm (default) side entry spigot
</v>
      </c>
      <c r="G332" t="str">
        <f ca="1">B193</f>
        <v>DN200 mm (default) side entry spigot</v>
      </c>
    </row>
    <row r="333" spans="1:7" x14ac:dyDescent="0.25">
      <c r="B333" t="str">
        <f>B161</f>
        <v>Foam box with R1 insulation</v>
      </c>
      <c r="F333" t="str">
        <f t="shared" si="15"/>
        <v xml:space="preserve">• No pressure damper
</v>
      </c>
      <c r="G333" t="str">
        <f>B196</f>
        <v>No pressure damper</v>
      </c>
    </row>
    <row r="334" spans="1:7" x14ac:dyDescent="0.25">
      <c r="B334" t="str">
        <f ca="1">B193</f>
        <v>DN200 mm (default) side entry spigot</v>
      </c>
    </row>
    <row r="335" spans="1:7" x14ac:dyDescent="0.25">
      <c r="B335" t="str">
        <f>B196</f>
        <v>No pressure damper</v>
      </c>
      <c r="D335" s="356" t="s">
        <v>513</v>
      </c>
    </row>
    <row r="336" spans="1:7" x14ac:dyDescent="0.25">
      <c r="D336" s="356"/>
    </row>
    <row r="337" spans="1:11" ht="19.149999999999999" customHeight="1" x14ac:dyDescent="0.25">
      <c r="B337" s="232" t="s">
        <v>511</v>
      </c>
      <c r="C337" t="s">
        <v>512</v>
      </c>
    </row>
    <row r="338" spans="1:11" ht="193.15" customHeight="1" x14ac:dyDescent="0.25">
      <c r="A338" s="232" t="s">
        <v>510</v>
      </c>
      <c r="B338" s="211" t="str">
        <f ca="1">_xlfn.CONCAT(C325:C326,C329:C335)</f>
        <v xml:space="preserve">HSC-VS Diffuser 
• Recommended D5 door setting (adjusted on-site)
• 4 Way (360°) discharge
• □ 595 mm square face
• Powder coated to RAL9003
</v>
      </c>
      <c r="C338" s="211" t="str">
        <f>C327</f>
        <v xml:space="preserve">Standard On-Board Sensors
• Supply Temperature
• Room Temperature
• Supply Pressure
Optional On-board sensors
• IAQ Sensor (CO₂ + RH)
</v>
      </c>
      <c r="D338" s="211" t="str">
        <f>B328</f>
        <v xml:space="preserve">HMI Options
• No wall stat selected
     • Room Temp
</v>
      </c>
      <c r="E338" s="211" t="str">
        <f>C338&amp;D338</f>
        <v xml:space="preserve">Standard On-Board Sensors
• Supply Temperature
• Room Temperature
• Supply Pressure
Optional On-board sensors
• IAQ Sensor (CO₂ + RH)
HMI Options
• No wall stat selected
     • Room Temp
</v>
      </c>
      <c r="F338" s="211" t="str">
        <f ca="1">_xlfn.CONCAT(F329:F333)</f>
        <v xml:space="preserve">Connection Box Details
• 250 mm high box (default)
• Foam box with R1 insulation
• DN200 mm (default) side entry spigot
• No pressure damper
</v>
      </c>
    </row>
    <row r="340" spans="1:11" ht="169.5" customHeight="1" x14ac:dyDescent="0.25">
      <c r="A340" t="s">
        <v>1004</v>
      </c>
      <c r="B340" s="211" t="str">
        <f ca="1">B338&amp;F338</f>
        <v xml:space="preserve">HSC-VS Diffuser 
• Recommended D5 door setting (adjusted on-site)
• 4 Way (360°) discharge
• □ 595 mm square face
• Powder coated to RAL9003
Connection Box Details
• 250 mm high box (default)
• Foam box with R1 insulation
• DN200 mm (default) side entry spigot
• No pressure damper
</v>
      </c>
    </row>
    <row r="342" spans="1:11" x14ac:dyDescent="0.25">
      <c r="B342" t="s">
        <v>255</v>
      </c>
    </row>
    <row r="343" spans="1:11" x14ac:dyDescent="0.25">
      <c r="B343" t="s">
        <v>832</v>
      </c>
      <c r="F343" t="s">
        <v>185</v>
      </c>
      <c r="G343" t="s">
        <v>182</v>
      </c>
      <c r="J343" t="s">
        <v>633</v>
      </c>
    </row>
    <row r="344" spans="1:11" x14ac:dyDescent="0.25">
      <c r="C344" t="s">
        <v>482</v>
      </c>
      <c r="D344" t="s">
        <v>487</v>
      </c>
      <c r="F344" t="s">
        <v>184</v>
      </c>
      <c r="G344" t="s">
        <v>175</v>
      </c>
      <c r="H344" t="s">
        <v>176</v>
      </c>
      <c r="I344" t="s">
        <v>526</v>
      </c>
      <c r="K344" t="s">
        <v>527</v>
      </c>
    </row>
    <row r="345" spans="1:11" x14ac:dyDescent="0.25">
      <c r="C345" t="s">
        <v>531</v>
      </c>
      <c r="D345" t="s">
        <v>532</v>
      </c>
      <c r="E345" t="s">
        <v>533</v>
      </c>
      <c r="F345" t="s">
        <v>534</v>
      </c>
      <c r="G345" t="s">
        <v>535</v>
      </c>
      <c r="H345" t="s">
        <v>954</v>
      </c>
    </row>
    <row r="346" spans="1:11" x14ac:dyDescent="0.25">
      <c r="A346" t="str">
        <f>"H"&amp;C346&amp;"-"&amp;B346</f>
        <v>H200-DN150</v>
      </c>
      <c r="B346" t="str">
        <f>'Connection Box Details'!C17</f>
        <v>DN150</v>
      </c>
      <c r="C346">
        <f>'Connection Box Details'!D17</f>
        <v>200</v>
      </c>
      <c r="D346">
        <f>'Connection Box Details'!E17</f>
        <v>50</v>
      </c>
      <c r="E346">
        <f>'Connection Box Details'!F17</f>
        <v>25</v>
      </c>
      <c r="F346">
        <f>'Connection Box Details'!G17</f>
        <v>0</v>
      </c>
      <c r="G346">
        <f>'Connection Box Details'!H17</f>
        <v>125</v>
      </c>
      <c r="H346">
        <f>'Connection Box Details'!I17</f>
        <v>170</v>
      </c>
      <c r="I346">
        <f>'Connection Box Details'!J17</f>
        <v>1.6654156934922754E-2</v>
      </c>
      <c r="J346">
        <f>'Connection Box Details'!K17</f>
        <v>59</v>
      </c>
      <c r="K346" t="b">
        <f t="shared" ref="K346:K360" si="16">F346=0</f>
        <v>1</v>
      </c>
    </row>
    <row r="347" spans="1:11" x14ac:dyDescent="0.25">
      <c r="A347" t="str">
        <f t="shared" ref="A347:A363" si="17">"H"&amp;C347&amp;"-"&amp;B347</f>
        <v>H200-DN200</v>
      </c>
      <c r="B347" t="str">
        <f>'Connection Box Details'!C18</f>
        <v>DN200</v>
      </c>
      <c r="C347">
        <f>'Connection Box Details'!D18</f>
        <v>200</v>
      </c>
      <c r="D347">
        <f>'Connection Box Details'!E18</f>
        <v>50</v>
      </c>
      <c r="E347">
        <f>'Connection Box Details'!F18</f>
        <v>25</v>
      </c>
      <c r="F347">
        <f>'Connection Box Details'!G18</f>
        <v>0</v>
      </c>
      <c r="G347">
        <f>'Connection Box Details'!H18</f>
        <v>125</v>
      </c>
      <c r="H347">
        <f>'Connection Box Details'!I18</f>
        <v>252</v>
      </c>
      <c r="I347">
        <f>'Connection Box Details'!J18</f>
        <v>2.4754257821257876E-2</v>
      </c>
      <c r="J347">
        <f>'Connection Box Details'!K18</f>
        <v>87</v>
      </c>
      <c r="K347" t="b">
        <f t="shared" si="16"/>
        <v>1</v>
      </c>
    </row>
    <row r="348" spans="1:11" x14ac:dyDescent="0.25">
      <c r="A348" t="str">
        <f t="shared" si="17"/>
        <v>H200-DN250</v>
      </c>
      <c r="B348" t="str">
        <f>'Connection Box Details'!C19</f>
        <v>DN250</v>
      </c>
      <c r="C348">
        <f>'Connection Box Details'!D19</f>
        <v>200</v>
      </c>
      <c r="D348">
        <f>'Connection Box Details'!E19</f>
        <v>50</v>
      </c>
      <c r="E348">
        <f>'Connection Box Details'!F19</f>
        <v>25</v>
      </c>
      <c r="F348">
        <f>'Connection Box Details'!G19</f>
        <v>0</v>
      </c>
      <c r="G348">
        <f>'Connection Box Details'!H19</f>
        <v>125</v>
      </c>
      <c r="H348">
        <f>'Connection Box Details'!I19</f>
        <v>329</v>
      </c>
      <c r="I348">
        <f>'Connection Box Details'!J19</f>
        <v>3.231978454180915E-2</v>
      </c>
      <c r="J348">
        <f>'Connection Box Details'!K19</f>
        <v>114</v>
      </c>
      <c r="K348" t="b">
        <f t="shared" si="16"/>
        <v>1</v>
      </c>
    </row>
    <row r="349" spans="1:11" x14ac:dyDescent="0.25">
      <c r="A349" t="str">
        <f t="shared" si="17"/>
        <v>H200-DN300</v>
      </c>
      <c r="B349" t="str">
        <f>'Connection Box Details'!C20</f>
        <v>DN300</v>
      </c>
      <c r="C349">
        <f>'Connection Box Details'!D20</f>
        <v>200</v>
      </c>
      <c r="D349">
        <f>'Connection Box Details'!E20</f>
        <v>50</v>
      </c>
      <c r="E349">
        <f>'Connection Box Details'!F20</f>
        <v>25</v>
      </c>
      <c r="F349">
        <f>'Connection Box Details'!G20</f>
        <v>0</v>
      </c>
      <c r="G349">
        <f>'Connection Box Details'!H20</f>
        <v>125</v>
      </c>
      <c r="H349">
        <f>'Connection Box Details'!I20</f>
        <v>404</v>
      </c>
      <c r="I349">
        <f>'Connection Box Details'!J20</f>
        <v>3.965786833474555E-2</v>
      </c>
      <c r="J349">
        <f>'Connection Box Details'!K20</f>
        <v>139</v>
      </c>
      <c r="K349" t="b">
        <f t="shared" si="16"/>
        <v>1</v>
      </c>
    </row>
    <row r="350" spans="1:11" x14ac:dyDescent="0.25">
      <c r="A350" t="str">
        <f t="shared" si="17"/>
        <v>H250-DN150</v>
      </c>
      <c r="B350" t="str">
        <f>'Connection Box Details'!C25</f>
        <v>DN150</v>
      </c>
      <c r="C350">
        <f>'Connection Box Details'!D25</f>
        <v>250</v>
      </c>
      <c r="D350">
        <f>'Connection Box Details'!E25</f>
        <v>50</v>
      </c>
      <c r="E350">
        <f>'Connection Box Details'!F25</f>
        <v>51</v>
      </c>
      <c r="F350">
        <f>'Connection Box Details'!G25</f>
        <v>149</v>
      </c>
      <c r="G350">
        <f>'Connection Box Details'!H25</f>
        <v>0</v>
      </c>
      <c r="H350">
        <f>'Connection Box Details'!I25</f>
        <v>0</v>
      </c>
      <c r="I350">
        <f>'Connection Box Details'!J25</f>
        <v>1.7436624625586747E-2</v>
      </c>
      <c r="J350">
        <f>'Connection Box Details'!K25</f>
        <v>62</v>
      </c>
      <c r="K350" t="b">
        <f t="shared" si="16"/>
        <v>0</v>
      </c>
    </row>
    <row r="351" spans="1:11" x14ac:dyDescent="0.25">
      <c r="A351" t="str">
        <f t="shared" si="17"/>
        <v>H250-DN200</v>
      </c>
      <c r="B351" t="str">
        <f>'Connection Box Details'!C26</f>
        <v>DN200</v>
      </c>
      <c r="C351">
        <f>'Connection Box Details'!D26</f>
        <v>250</v>
      </c>
      <c r="D351">
        <f>'Connection Box Details'!E26</f>
        <v>50</v>
      </c>
      <c r="E351">
        <f>'Connection Box Details'!F26</f>
        <v>25</v>
      </c>
      <c r="F351">
        <f>'Connection Box Details'!G26</f>
        <v>0</v>
      </c>
      <c r="G351">
        <f>'Connection Box Details'!H26</f>
        <v>175</v>
      </c>
      <c r="H351">
        <f>'Connection Box Details'!I26</f>
        <v>220</v>
      </c>
      <c r="I351">
        <f>'Connection Box Details'!J26</f>
        <v>3.0293069079278843E-2</v>
      </c>
      <c r="J351">
        <f>'Connection Box Details'!K26</f>
        <v>107</v>
      </c>
      <c r="K351" t="b">
        <f t="shared" si="16"/>
        <v>1</v>
      </c>
    </row>
    <row r="352" spans="1:11" x14ac:dyDescent="0.25">
      <c r="A352" t="str">
        <f t="shared" si="17"/>
        <v>H250-DN250</v>
      </c>
      <c r="B352" t="str">
        <f>'Connection Box Details'!C27</f>
        <v>DN250</v>
      </c>
      <c r="C352">
        <f>'Connection Box Details'!D27</f>
        <v>250</v>
      </c>
      <c r="D352">
        <f>'Connection Box Details'!E27</f>
        <v>50</v>
      </c>
      <c r="E352">
        <f>'Connection Box Details'!F27</f>
        <v>25</v>
      </c>
      <c r="F352">
        <f>'Connection Box Details'!G27</f>
        <v>0</v>
      </c>
      <c r="G352">
        <f>'Connection Box Details'!H27</f>
        <v>175</v>
      </c>
      <c r="H352">
        <f>'Connection Box Details'!I27</f>
        <v>306</v>
      </c>
      <c r="I352">
        <f>'Connection Box Details'!J27</f>
        <v>4.199986442401181E-2</v>
      </c>
      <c r="J352">
        <f>'Connection Box Details'!K27</f>
        <v>147</v>
      </c>
      <c r="K352" t="b">
        <f t="shared" si="16"/>
        <v>1</v>
      </c>
    </row>
    <row r="353" spans="1:11" x14ac:dyDescent="0.25">
      <c r="A353" t="str">
        <f t="shared" si="17"/>
        <v>H250-DN300</v>
      </c>
      <c r="B353" t="str">
        <f>'Connection Box Details'!C28</f>
        <v>DN300</v>
      </c>
      <c r="C353">
        <f>'Connection Box Details'!D28</f>
        <v>250</v>
      </c>
      <c r="D353">
        <f>'Connection Box Details'!E28</f>
        <v>50</v>
      </c>
      <c r="E353">
        <f>'Connection Box Details'!F28</f>
        <v>25</v>
      </c>
      <c r="F353">
        <f>'Connection Box Details'!G28</f>
        <v>0</v>
      </c>
      <c r="G353">
        <f>'Connection Box Details'!H28</f>
        <v>175</v>
      </c>
      <c r="H353">
        <f>'Connection Box Details'!I28</f>
        <v>385</v>
      </c>
      <c r="I353">
        <f>'Connection Box Details'!J28</f>
        <v>5.2907632585179859E-2</v>
      </c>
      <c r="J353">
        <f>'Connection Box Details'!K28</f>
        <v>186</v>
      </c>
      <c r="K353" t="b">
        <f t="shared" si="16"/>
        <v>1</v>
      </c>
    </row>
    <row r="354" spans="1:11" x14ac:dyDescent="0.25">
      <c r="A354" t="str">
        <f t="shared" si="17"/>
        <v>H250-DN350</v>
      </c>
      <c r="B354" t="str">
        <f>'Connection Box Details'!C29</f>
        <v>DN350</v>
      </c>
      <c r="C354">
        <f>'Connection Box Details'!D29</f>
        <v>250</v>
      </c>
      <c r="D354">
        <f>'Connection Box Details'!E29</f>
        <v>50</v>
      </c>
      <c r="E354">
        <f>'Connection Box Details'!F29</f>
        <v>25</v>
      </c>
      <c r="F354">
        <f>'Connection Box Details'!G29</f>
        <v>0</v>
      </c>
      <c r="G354">
        <f>'Connection Box Details'!H29</f>
        <v>175</v>
      </c>
      <c r="H354">
        <f>'Connection Box Details'!I29</f>
        <v>461</v>
      </c>
      <c r="I354">
        <f>'Connection Box Details'!J29</f>
        <v>6.3429937384810647E-2</v>
      </c>
      <c r="J354">
        <f>'Connection Box Details'!K29</f>
        <v>223</v>
      </c>
      <c r="K354" t="b">
        <f t="shared" si="16"/>
        <v>1</v>
      </c>
    </row>
    <row r="355" spans="1:11" x14ac:dyDescent="0.25">
      <c r="A355" t="str">
        <f t="shared" si="17"/>
        <v>H350-DN150</v>
      </c>
      <c r="B355" t="str">
        <f>'Connection Box Details'!C34</f>
        <v>DN150</v>
      </c>
      <c r="C355">
        <f>'Connection Box Details'!D34</f>
        <v>350</v>
      </c>
      <c r="D355">
        <f>'Connection Box Details'!E34</f>
        <v>50</v>
      </c>
      <c r="E355">
        <f>'Connection Box Details'!F34</f>
        <v>151</v>
      </c>
      <c r="F355">
        <f>'Connection Box Details'!G34</f>
        <v>149</v>
      </c>
      <c r="G355">
        <f>'Connection Box Details'!H34</f>
        <v>0</v>
      </c>
      <c r="H355">
        <f>'Connection Box Details'!I34</f>
        <v>0</v>
      </c>
      <c r="I355">
        <f>'Connection Box Details'!J34</f>
        <v>1.7436624625586747E-2</v>
      </c>
      <c r="J355">
        <f>'Connection Box Details'!K34</f>
        <v>62</v>
      </c>
      <c r="K355" t="b">
        <f t="shared" si="16"/>
        <v>0</v>
      </c>
    </row>
    <row r="356" spans="1:11" x14ac:dyDescent="0.25">
      <c r="A356" t="str">
        <f t="shared" si="17"/>
        <v>H350-DN200</v>
      </c>
      <c r="B356" t="str">
        <f>'Connection Box Details'!C35</f>
        <v>DN200</v>
      </c>
      <c r="C356">
        <f>'Connection Box Details'!D35</f>
        <v>350</v>
      </c>
      <c r="D356">
        <f>'Connection Box Details'!E35</f>
        <v>50</v>
      </c>
      <c r="E356">
        <f>'Connection Box Details'!F35</f>
        <v>101</v>
      </c>
      <c r="F356">
        <f>'Connection Box Details'!G35</f>
        <v>199</v>
      </c>
      <c r="G356">
        <f>'Connection Box Details'!H35</f>
        <v>0</v>
      </c>
      <c r="H356">
        <f>'Connection Box Details'!I35</f>
        <v>0</v>
      </c>
      <c r="I356">
        <f>'Connection Box Details'!J35</f>
        <v>3.1102552668702352E-2</v>
      </c>
      <c r="J356">
        <f>'Connection Box Details'!K35</f>
        <v>109</v>
      </c>
      <c r="K356" t="b">
        <f t="shared" si="16"/>
        <v>0</v>
      </c>
    </row>
    <row r="357" spans="1:11" x14ac:dyDescent="0.25">
      <c r="A357" t="str">
        <f t="shared" si="17"/>
        <v>H350-DN250</v>
      </c>
      <c r="B357" t="str">
        <f>'Connection Box Details'!C36</f>
        <v>DN250</v>
      </c>
      <c r="C357">
        <f>'Connection Box Details'!D36</f>
        <v>350</v>
      </c>
      <c r="D357">
        <f>'Connection Box Details'!E36</f>
        <v>50</v>
      </c>
      <c r="E357">
        <f>'Connection Box Details'!F36</f>
        <v>51</v>
      </c>
      <c r="F357">
        <f>'Connection Box Details'!G36</f>
        <v>249</v>
      </c>
      <c r="G357">
        <f>'Connection Box Details'!H36</f>
        <v>0</v>
      </c>
      <c r="H357">
        <f>'Connection Box Details'!I36</f>
        <v>0</v>
      </c>
      <c r="I357">
        <f>'Connection Box Details'!J36</f>
        <v>4.8695471528805191E-2</v>
      </c>
      <c r="J357">
        <f>'Connection Box Details'!K36</f>
        <v>171</v>
      </c>
      <c r="K357" t="b">
        <f t="shared" si="16"/>
        <v>0</v>
      </c>
    </row>
    <row r="358" spans="1:11" x14ac:dyDescent="0.25">
      <c r="A358" t="str">
        <f t="shared" si="17"/>
        <v>H350-DN300</v>
      </c>
      <c r="B358" t="str">
        <f>'Connection Box Details'!C37</f>
        <v>DN300</v>
      </c>
      <c r="C358">
        <f>'Connection Box Details'!D37</f>
        <v>350</v>
      </c>
      <c r="D358">
        <f>'Connection Box Details'!E37</f>
        <v>50</v>
      </c>
      <c r="E358">
        <f>'Connection Box Details'!F37</f>
        <v>50</v>
      </c>
      <c r="F358">
        <f>'Connection Box Details'!G37</f>
        <v>0</v>
      </c>
      <c r="G358">
        <f>'Connection Box Details'!H37</f>
        <v>250</v>
      </c>
      <c r="H358">
        <f>'Connection Box Details'!I37</f>
        <v>341</v>
      </c>
      <c r="I358">
        <f>'Connection Box Details'!J37</f>
        <v>6.6961239110290713E-2</v>
      </c>
      <c r="J358">
        <f>'Connection Box Details'!K37</f>
        <v>235</v>
      </c>
      <c r="K358" t="b">
        <f t="shared" si="16"/>
        <v>1</v>
      </c>
    </row>
    <row r="359" spans="1:11" x14ac:dyDescent="0.25">
      <c r="A359" t="str">
        <f t="shared" si="17"/>
        <v>H350-DN350</v>
      </c>
      <c r="B359" t="str">
        <f>'Connection Box Details'!C38</f>
        <v>DN350</v>
      </c>
      <c r="C359">
        <f>'Connection Box Details'!D38</f>
        <v>350</v>
      </c>
      <c r="D359">
        <f>'Connection Box Details'!E38</f>
        <v>50</v>
      </c>
      <c r="E359">
        <f>'Connection Box Details'!F38</f>
        <v>50</v>
      </c>
      <c r="F359">
        <f>'Connection Box Details'!G38</f>
        <v>0</v>
      </c>
      <c r="G359">
        <f>'Connection Box Details'!H38</f>
        <v>250</v>
      </c>
      <c r="H359">
        <f>'Connection Box Details'!I38</f>
        <v>426</v>
      </c>
      <c r="I359">
        <f>'Connection Box Details'!J38</f>
        <v>8.35586689530851E-2</v>
      </c>
      <c r="J359">
        <f>'Connection Box Details'!K38</f>
        <v>293</v>
      </c>
      <c r="K359" t="b">
        <f t="shared" si="16"/>
        <v>1</v>
      </c>
    </row>
    <row r="360" spans="1:11" x14ac:dyDescent="0.25">
      <c r="A360" t="s">
        <v>902</v>
      </c>
      <c r="B360" t="s">
        <v>179</v>
      </c>
      <c r="C360">
        <v>400</v>
      </c>
      <c r="D360">
        <v>50</v>
      </c>
      <c r="E360">
        <v>51</v>
      </c>
      <c r="F360">
        <v>299</v>
      </c>
      <c r="G360">
        <v>0</v>
      </c>
      <c r="H360">
        <v>0</v>
      </c>
      <c r="I360">
        <f>PI()*(0.299/2)^2</f>
        <v>7.0215381205895266E-2</v>
      </c>
      <c r="J360">
        <f>I360*3.5*1000</f>
        <v>245.75383422063342</v>
      </c>
      <c r="K360" t="b">
        <f t="shared" si="16"/>
        <v>0</v>
      </c>
    </row>
    <row r="363" spans="1:11" x14ac:dyDescent="0.25">
      <c r="A363" t="str">
        <f t="shared" si="17"/>
        <v>H400-DN300</v>
      </c>
      <c r="B363" t="s">
        <v>179</v>
      </c>
      <c r="C363">
        <v>400</v>
      </c>
    </row>
    <row r="364" spans="1:11" x14ac:dyDescent="0.25">
      <c r="A364" t="s">
        <v>819</v>
      </c>
      <c r="B364" t="s">
        <v>819</v>
      </c>
      <c r="C364" t="s">
        <v>819</v>
      </c>
      <c r="D364">
        <v>50</v>
      </c>
      <c r="E364" s="530" t="s">
        <v>713</v>
      </c>
      <c r="F364" s="530" t="s">
        <v>713</v>
      </c>
      <c r="G364" s="530" t="s">
        <v>713</v>
      </c>
      <c r="H364" s="530" t="s">
        <v>713</v>
      </c>
      <c r="I364" s="530" t="s">
        <v>713</v>
      </c>
      <c r="K364" t="b">
        <v>0</v>
      </c>
    </row>
    <row r="365" spans="1:11" x14ac:dyDescent="0.25">
      <c r="A365" t="s">
        <v>260</v>
      </c>
      <c r="B365" t="s">
        <v>260</v>
      </c>
      <c r="C365" t="s">
        <v>260</v>
      </c>
      <c r="D365" t="s">
        <v>260</v>
      </c>
      <c r="E365" t="s">
        <v>260</v>
      </c>
      <c r="F365" t="s">
        <v>260</v>
      </c>
      <c r="G365" t="s">
        <v>260</v>
      </c>
      <c r="H365" t="s">
        <v>260</v>
      </c>
      <c r="I365" t="s">
        <v>260</v>
      </c>
      <c r="J365" t="s">
        <v>260</v>
      </c>
      <c r="K365" t="b">
        <v>0</v>
      </c>
    </row>
    <row r="366" spans="1:11" x14ac:dyDescent="0.25">
      <c r="A366" s="1" t="s">
        <v>528</v>
      </c>
      <c r="B366" s="1">
        <v>2</v>
      </c>
      <c r="C366" s="1">
        <v>3</v>
      </c>
      <c r="D366" s="1">
        <v>4</v>
      </c>
      <c r="E366" s="1">
        <v>5</v>
      </c>
      <c r="F366" s="1">
        <v>6</v>
      </c>
      <c r="G366" s="1">
        <v>7</v>
      </c>
      <c r="H366" s="1">
        <v>8</v>
      </c>
      <c r="I366" s="1">
        <v>9</v>
      </c>
      <c r="J366" s="1">
        <v>10</v>
      </c>
      <c r="K366" s="1">
        <v>11</v>
      </c>
    </row>
    <row r="367" spans="1:11" x14ac:dyDescent="0.25">
      <c r="A367" t="str">
        <f ca="1">IF(OR(B122="bespoke",B150="bespoke"),"bespoke","H"&amp;$B$122&amp;"-DN"&amp;$B$150)</f>
        <v>H250-DN200</v>
      </c>
      <c r="B367" t="str">
        <f ca="1">IFERROR(VLOOKUP($A$367,$A$346:$K$364,B366,0),B365)</f>
        <v>DN200</v>
      </c>
      <c r="C367">
        <f t="shared" ref="C367:J367" ca="1" si="18">IFERROR(VLOOKUP($A$367,$A$346:$K$364,C366,0),C365)</f>
        <v>250</v>
      </c>
      <c r="D367">
        <f t="shared" ca="1" si="18"/>
        <v>50</v>
      </c>
      <c r="E367">
        <f t="shared" ca="1" si="18"/>
        <v>25</v>
      </c>
      <c r="F367">
        <f t="shared" ca="1" si="18"/>
        <v>0</v>
      </c>
      <c r="G367">
        <f t="shared" ca="1" si="18"/>
        <v>175</v>
      </c>
      <c r="H367">
        <f t="shared" ca="1" si="18"/>
        <v>220</v>
      </c>
      <c r="I367">
        <f t="shared" ca="1" si="18"/>
        <v>3.0293069079278843E-2</v>
      </c>
      <c r="J367">
        <f t="shared" ca="1" si="18"/>
        <v>107</v>
      </c>
      <c r="K367" t="b">
        <f ca="1">IFERROR(VLOOKUP($A$367,$A$346:$K$364,K366,0),K365)</f>
        <v>1</v>
      </c>
    </row>
    <row r="368" spans="1:11" x14ac:dyDescent="0.25">
      <c r="A368" t="s">
        <v>537</v>
      </c>
      <c r="C368" t="s">
        <v>531</v>
      </c>
      <c r="D368" t="s">
        <v>532</v>
      </c>
      <c r="E368" t="s">
        <v>533</v>
      </c>
      <c r="F368" t="str">
        <f ca="1">IF($K$367,G345,F345)</f>
        <v>H₃</v>
      </c>
      <c r="G368" t="str">
        <f ca="1">IF($K$367,H345,"")</f>
        <v>L₃</v>
      </c>
    </row>
    <row r="369" spans="1:8" x14ac:dyDescent="0.25">
      <c r="C369">
        <f ca="1">C367</f>
        <v>250</v>
      </c>
      <c r="D369">
        <f t="shared" ref="D369:E369" ca="1" si="19">D367</f>
        <v>50</v>
      </c>
      <c r="E369">
        <f t="shared" ca="1" si="19"/>
        <v>25</v>
      </c>
      <c r="F369">
        <f ca="1">IF($K$367,G367,F367)</f>
        <v>175</v>
      </c>
      <c r="G369">
        <f ca="1">IF($K$367,H367,"[mm]")</f>
        <v>220</v>
      </c>
      <c r="H369" t="str">
        <f ca="1">IF(K367,"[mm]","")</f>
        <v>[mm]</v>
      </c>
    </row>
    <row r="370" spans="1:8" x14ac:dyDescent="0.25">
      <c r="A370" t="s">
        <v>901</v>
      </c>
      <c r="B370" t="str">
        <f ca="1">IFERROR(C370&amp;" " &amp;D370,"bespoke")</f>
        <v>3.3 m/s</v>
      </c>
      <c r="C370">
        <f ca="1">ROUND(Equations!C14/1000/Data!$I$367,1)</f>
        <v>3.3</v>
      </c>
      <c r="D370" t="s">
        <v>120</v>
      </c>
    </row>
    <row r="1024" spans="1:1" x14ac:dyDescent="0.25">
      <c r="A1024">
        <v>1</v>
      </c>
    </row>
  </sheetData>
  <dataConsolidate/>
  <phoneticPr fontId="6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1:AD171"/>
  <sheetViews>
    <sheetView topLeftCell="A18" zoomScaleNormal="100" workbookViewId="0">
      <selection activeCell="C5" sqref="C5"/>
    </sheetView>
  </sheetViews>
  <sheetFormatPr defaultRowHeight="15" x14ac:dyDescent="0.25"/>
  <cols>
    <col min="1" max="1" width="2.85546875" customWidth="1"/>
    <col min="2" max="2" width="4.85546875" customWidth="1"/>
    <col min="3" max="3" width="11" customWidth="1"/>
    <col min="4" max="4" width="13.42578125" customWidth="1"/>
    <col min="5" max="6" width="10.7109375" customWidth="1"/>
    <col min="7" max="7" width="13.42578125" customWidth="1"/>
    <col min="8" max="8" width="10.7109375" customWidth="1"/>
    <col min="9" max="9" width="10.85546875" customWidth="1"/>
    <col min="10" max="10" width="10.42578125" customWidth="1"/>
    <col min="11" max="11" width="14" customWidth="1"/>
    <col min="12" max="12" width="11.140625" customWidth="1"/>
    <col min="13" max="13" width="13.42578125" customWidth="1"/>
    <col min="14" max="14" width="13.5703125" customWidth="1"/>
    <col min="15" max="15" width="11.5703125" customWidth="1"/>
    <col min="16" max="16" width="11.85546875" customWidth="1"/>
    <col min="17" max="18" width="10.7109375" customWidth="1"/>
    <col min="19" max="19" width="12.140625" customWidth="1"/>
    <col min="20" max="20" width="10.7109375" customWidth="1"/>
    <col min="21" max="21" width="12.85546875" customWidth="1"/>
    <col min="22" max="28" width="10.7109375" customWidth="1"/>
    <col min="29" max="29" width="9" customWidth="1"/>
    <col min="30" max="30" width="10.7109375" customWidth="1"/>
  </cols>
  <sheetData>
    <row r="1" spans="2:30" ht="13.5" customHeight="1" x14ac:dyDescent="0.25">
      <c r="B1" s="29"/>
      <c r="C1" s="30"/>
      <c r="D1" s="30"/>
      <c r="E1" s="30"/>
      <c r="F1" s="30"/>
      <c r="G1" s="30"/>
      <c r="H1" s="30"/>
      <c r="I1" s="30"/>
      <c r="J1" s="30"/>
      <c r="K1" s="30"/>
      <c r="L1" s="30"/>
      <c r="M1" s="21"/>
      <c r="N1" s="30"/>
      <c r="O1" s="30"/>
      <c r="P1" s="30"/>
      <c r="Q1" s="30"/>
      <c r="R1" s="30"/>
      <c r="S1" s="30"/>
      <c r="T1" s="30"/>
      <c r="U1" s="30"/>
      <c r="V1" s="30"/>
      <c r="W1" s="30"/>
      <c r="X1" s="30"/>
      <c r="Y1" s="30"/>
      <c r="Z1" s="30"/>
      <c r="AA1" s="30"/>
      <c r="AB1" s="30"/>
      <c r="AC1" s="30"/>
      <c r="AD1" s="31"/>
    </row>
    <row r="2" spans="2:30" ht="21" x14ac:dyDescent="0.35">
      <c r="B2" s="32"/>
      <c r="C2" s="24" t="s">
        <v>58</v>
      </c>
      <c r="D2" s="21"/>
      <c r="E2" s="21"/>
      <c r="F2" s="21"/>
      <c r="G2" s="21"/>
      <c r="H2" s="21"/>
      <c r="I2" s="46"/>
      <c r="J2" s="46"/>
      <c r="K2" s="46"/>
      <c r="L2" s="46"/>
      <c r="M2" s="21"/>
      <c r="N2" s="46"/>
      <c r="O2" s="46"/>
      <c r="P2" s="46"/>
      <c r="Q2" s="46"/>
      <c r="R2" s="46"/>
      <c r="S2" s="46"/>
      <c r="T2" s="46"/>
      <c r="U2" s="46"/>
      <c r="V2" s="46"/>
      <c r="W2" s="46"/>
      <c r="X2" s="46"/>
      <c r="Y2" s="46"/>
      <c r="Z2" s="46"/>
      <c r="AA2" s="46"/>
      <c r="AB2" s="46"/>
      <c r="AC2" s="46"/>
      <c r="AD2" s="46"/>
    </row>
    <row r="3" spans="2:30" ht="25.5" customHeight="1" x14ac:dyDescent="0.35">
      <c r="B3" s="32"/>
      <c r="C3" s="34" t="s">
        <v>717</v>
      </c>
      <c r="D3" s="21"/>
      <c r="E3" s="21"/>
      <c r="F3" s="21"/>
      <c r="G3" s="21"/>
      <c r="H3" s="21"/>
      <c r="I3" s="46"/>
      <c r="J3" s="46"/>
      <c r="K3" s="46"/>
      <c r="L3" s="46"/>
      <c r="M3" s="21"/>
      <c r="N3" s="46"/>
      <c r="O3" s="46"/>
      <c r="P3" s="46"/>
      <c r="Q3" s="46"/>
      <c r="R3" s="46"/>
      <c r="S3" s="46"/>
      <c r="T3" s="46"/>
      <c r="U3" s="46"/>
      <c r="V3" s="46"/>
      <c r="W3" s="46"/>
      <c r="X3" s="46"/>
      <c r="Y3" s="46"/>
      <c r="Z3" s="46"/>
      <c r="AA3" s="46"/>
      <c r="AB3" s="46"/>
      <c r="AC3" s="46"/>
      <c r="AD3" s="46"/>
    </row>
    <row r="4" spans="2:30" ht="13.5" customHeight="1" x14ac:dyDescent="0.3">
      <c r="B4" s="32"/>
      <c r="C4" s="25"/>
      <c r="D4" s="25"/>
      <c r="E4" s="21"/>
      <c r="F4" s="21"/>
      <c r="G4" s="21"/>
      <c r="H4" s="21"/>
      <c r="I4" s="21"/>
      <c r="J4" s="21"/>
      <c r="K4" s="21"/>
      <c r="L4" s="21"/>
      <c r="M4" s="21"/>
      <c r="N4" s="21"/>
      <c r="O4" s="21"/>
      <c r="P4" s="21"/>
      <c r="Q4" s="21"/>
      <c r="R4" s="21"/>
      <c r="S4" s="21"/>
      <c r="T4" s="21"/>
      <c r="U4" s="21"/>
      <c r="V4" s="21"/>
      <c r="W4" s="21"/>
      <c r="X4" s="21"/>
      <c r="Y4" s="21"/>
      <c r="Z4" s="21"/>
      <c r="AA4" s="21"/>
      <c r="AB4" s="21"/>
      <c r="AC4" s="21"/>
      <c r="AD4" s="33"/>
    </row>
    <row r="5" spans="2:30" ht="17.25" customHeight="1" x14ac:dyDescent="0.25">
      <c r="B5" s="53"/>
      <c r="C5" s="572" t="s">
        <v>778</v>
      </c>
      <c r="D5" s="17"/>
      <c r="E5" s="17"/>
      <c r="F5" s="17"/>
      <c r="G5" s="17"/>
      <c r="H5" s="17"/>
      <c r="I5" s="17"/>
      <c r="J5" s="17"/>
      <c r="K5" s="17"/>
      <c r="L5" s="17"/>
      <c r="M5" s="17"/>
      <c r="N5" s="17"/>
      <c r="O5" s="17"/>
      <c r="P5" s="17"/>
      <c r="Q5" s="17"/>
      <c r="R5" s="17"/>
      <c r="S5" s="17"/>
      <c r="T5" s="17"/>
      <c r="U5" s="17"/>
      <c r="V5" s="17"/>
      <c r="W5" s="17"/>
      <c r="X5" s="17"/>
      <c r="Y5" s="17"/>
      <c r="Z5" s="17"/>
      <c r="AA5" s="17"/>
      <c r="AB5" s="17"/>
      <c r="AC5" s="17"/>
      <c r="AD5" s="54"/>
    </row>
    <row r="6" spans="2:30" ht="11.25" customHeight="1" x14ac:dyDescent="0.25">
      <c r="B6" s="53"/>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54"/>
    </row>
    <row r="7" spans="2:30" ht="20.25" customHeight="1" thickBot="1" x14ac:dyDescent="0.35">
      <c r="B7" s="53"/>
      <c r="C7" s="539" t="s">
        <v>820</v>
      </c>
      <c r="D7" s="540"/>
      <c r="E7" s="540"/>
      <c r="F7" s="540"/>
      <c r="G7" s="540"/>
      <c r="H7" s="17"/>
      <c r="I7" s="17"/>
      <c r="J7" s="17"/>
      <c r="K7" s="17"/>
      <c r="L7" s="17"/>
      <c r="M7" s="17"/>
      <c r="N7" s="17"/>
      <c r="O7" s="17"/>
      <c r="P7" s="17"/>
      <c r="Q7" s="17"/>
      <c r="R7" s="17"/>
      <c r="S7" s="17"/>
      <c r="T7" s="17"/>
      <c r="U7" s="17"/>
      <c r="V7" s="17"/>
      <c r="W7" s="17"/>
      <c r="X7" s="17"/>
      <c r="Y7" s="17"/>
      <c r="Z7" s="17"/>
      <c r="AA7" s="17"/>
      <c r="AB7" s="17"/>
      <c r="AC7" s="17"/>
      <c r="AD7" s="54"/>
    </row>
    <row r="8" spans="2:30" ht="15" customHeight="1" x14ac:dyDescent="0.3">
      <c r="B8" s="53"/>
      <c r="C8" s="555" t="s">
        <v>821</v>
      </c>
      <c r="D8" s="392"/>
      <c r="E8" s="392"/>
      <c r="F8" s="392"/>
      <c r="G8" s="392"/>
      <c r="H8" s="17"/>
      <c r="I8" s="17"/>
      <c r="J8" s="17"/>
      <c r="K8" s="17"/>
      <c r="L8" s="17"/>
      <c r="M8" s="17"/>
      <c r="N8" s="17"/>
      <c r="O8" s="17"/>
      <c r="P8" s="17"/>
      <c r="Q8" s="17"/>
      <c r="R8" s="17"/>
      <c r="S8" s="17"/>
      <c r="T8" s="17"/>
      <c r="U8" s="17"/>
      <c r="V8" s="17"/>
      <c r="W8" s="17"/>
      <c r="X8" s="17"/>
      <c r="Y8" s="17"/>
      <c r="Z8" s="17"/>
      <c r="AA8" s="17"/>
      <c r="AB8" s="17"/>
      <c r="AC8" s="17"/>
      <c r="AD8" s="54"/>
    </row>
    <row r="9" spans="2:30" ht="15" customHeight="1" x14ac:dyDescent="0.3">
      <c r="B9" s="53"/>
      <c r="C9" s="555" t="s">
        <v>822</v>
      </c>
      <c r="D9" s="392"/>
      <c r="E9" s="392"/>
      <c r="F9" s="392"/>
      <c r="G9" s="392"/>
      <c r="H9" s="17"/>
      <c r="I9" s="17"/>
      <c r="J9" s="17"/>
      <c r="K9" s="17"/>
      <c r="L9" s="17"/>
      <c r="M9" s="17"/>
      <c r="N9" s="17"/>
      <c r="O9" s="17"/>
      <c r="P9" s="17"/>
      <c r="Q9" s="17"/>
      <c r="R9" s="17"/>
      <c r="S9" s="17"/>
      <c r="T9" s="17"/>
      <c r="U9" s="17"/>
      <c r="V9" s="17"/>
      <c r="W9" s="17"/>
      <c r="X9" s="17"/>
      <c r="Y9" s="17"/>
      <c r="Z9" s="17"/>
      <c r="AA9" s="17"/>
      <c r="AB9" s="17"/>
      <c r="AC9" s="17"/>
      <c r="AD9" s="54"/>
    </row>
    <row r="10" spans="2:30" ht="15" customHeight="1" x14ac:dyDescent="0.25">
      <c r="B10" s="53"/>
      <c r="C10" s="555" t="s">
        <v>823</v>
      </c>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54"/>
    </row>
    <row r="11" spans="2:30" ht="9" customHeight="1" x14ac:dyDescent="0.25">
      <c r="B11" s="53"/>
      <c r="C11" s="124"/>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54"/>
    </row>
    <row r="12" spans="2:30" ht="20.25" thickBot="1" x14ac:dyDescent="0.35">
      <c r="B12" s="53"/>
      <c r="C12" s="539" t="s">
        <v>699</v>
      </c>
      <c r="D12" s="540"/>
      <c r="E12" s="540"/>
      <c r="F12" s="540"/>
      <c r="G12" s="540"/>
      <c r="H12" s="392"/>
      <c r="I12" s="17"/>
      <c r="J12" s="17"/>
      <c r="K12" s="17"/>
      <c r="L12" s="17"/>
      <c r="M12" s="395"/>
      <c r="N12" s="392"/>
      <c r="O12" s="392"/>
      <c r="P12" s="392"/>
      <c r="Q12" s="17"/>
      <c r="R12" s="17"/>
      <c r="S12" s="17"/>
      <c r="T12" s="17"/>
      <c r="U12" s="17"/>
      <c r="V12" s="17"/>
      <c r="W12" s="17"/>
      <c r="X12" s="17"/>
      <c r="Y12" s="17"/>
      <c r="Z12" s="17"/>
      <c r="AA12" s="17"/>
      <c r="AB12" s="17"/>
      <c r="AC12" s="17"/>
      <c r="AD12" s="54"/>
    </row>
    <row r="13" spans="2:30" ht="15" customHeight="1" x14ac:dyDescent="0.25">
      <c r="B13" s="53"/>
      <c r="C13" s="124" t="s">
        <v>88</v>
      </c>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54"/>
    </row>
    <row r="14" spans="2:30" ht="15" customHeight="1" x14ac:dyDescent="0.25">
      <c r="B14" s="53"/>
      <c r="C14" s="124" t="s">
        <v>90</v>
      </c>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54"/>
    </row>
    <row r="15" spans="2:30" ht="11.25" customHeight="1" x14ac:dyDescent="0.25">
      <c r="B15" s="53"/>
      <c r="C15" s="124"/>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54"/>
    </row>
    <row r="16" spans="2:30" ht="20.25" customHeight="1" thickBot="1" x14ac:dyDescent="0.35">
      <c r="B16" s="53"/>
      <c r="C16" s="539" t="s">
        <v>741</v>
      </c>
      <c r="D16" s="540"/>
      <c r="E16" s="540"/>
      <c r="F16" s="540"/>
      <c r="G16" s="540"/>
      <c r="H16" s="17"/>
      <c r="I16" s="17"/>
      <c r="J16" s="17"/>
      <c r="K16" s="17"/>
      <c r="L16" s="17"/>
      <c r="M16" s="17"/>
      <c r="N16" s="17"/>
      <c r="O16" s="17"/>
      <c r="P16" s="17"/>
      <c r="Q16" s="17"/>
      <c r="R16" s="17"/>
      <c r="S16" s="17"/>
      <c r="T16" s="17"/>
      <c r="U16" s="17"/>
      <c r="V16" s="17"/>
      <c r="W16" s="17"/>
      <c r="X16" s="17"/>
      <c r="Y16" s="17"/>
      <c r="Z16" s="17"/>
      <c r="AA16" s="17"/>
      <c r="AB16" s="17"/>
      <c r="AC16" s="17"/>
      <c r="AD16" s="54"/>
    </row>
    <row r="17" spans="2:30" ht="55.5" customHeight="1" x14ac:dyDescent="0.25">
      <c r="B17" s="53"/>
      <c r="C17" s="734" t="s">
        <v>779</v>
      </c>
      <c r="D17" s="734"/>
      <c r="E17" s="734"/>
      <c r="F17" s="734"/>
      <c r="G17" s="734"/>
      <c r="H17" s="734"/>
      <c r="I17" s="734"/>
      <c r="J17" s="734"/>
      <c r="K17" s="734"/>
      <c r="L17" s="734"/>
      <c r="M17" s="734"/>
      <c r="N17" s="734"/>
      <c r="O17" s="734"/>
      <c r="P17" s="734"/>
      <c r="Q17" s="734"/>
      <c r="R17" s="17"/>
      <c r="S17" s="17"/>
      <c r="T17" s="17"/>
      <c r="U17" s="17"/>
      <c r="V17" s="17"/>
      <c r="W17" s="17"/>
      <c r="X17" s="17"/>
      <c r="Y17" s="17"/>
      <c r="Z17" s="17"/>
      <c r="AA17" s="17"/>
      <c r="AB17" s="17"/>
      <c r="AC17" s="17"/>
      <c r="AD17" s="54"/>
    </row>
    <row r="18" spans="2:30" ht="42" customHeight="1" x14ac:dyDescent="0.25">
      <c r="B18" s="53"/>
      <c r="C18" s="733" t="s">
        <v>616</v>
      </c>
      <c r="D18" s="733"/>
      <c r="E18" s="733"/>
      <c r="F18" s="733"/>
      <c r="G18" s="733"/>
      <c r="H18" s="733"/>
      <c r="I18" s="733"/>
      <c r="J18" s="733"/>
      <c r="K18" s="733"/>
      <c r="L18" s="733"/>
      <c r="M18" s="733"/>
      <c r="N18" s="733"/>
      <c r="O18" s="733"/>
      <c r="P18" s="733"/>
      <c r="Q18" s="733"/>
      <c r="R18" s="733"/>
      <c r="S18" s="17"/>
      <c r="T18" s="17"/>
      <c r="U18" s="17"/>
      <c r="V18" s="17"/>
      <c r="W18" s="17"/>
      <c r="X18" s="17"/>
      <c r="Y18" s="17"/>
      <c r="Z18" s="17"/>
      <c r="AA18" s="17"/>
      <c r="AB18" s="17"/>
      <c r="AC18" s="17"/>
      <c r="AD18" s="54"/>
    </row>
    <row r="19" spans="2:30" ht="8.25" customHeight="1" x14ac:dyDescent="0.25">
      <c r="B19" s="53"/>
      <c r="C19" s="124"/>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54"/>
    </row>
    <row r="20" spans="2:30" ht="20.25" thickBot="1" x14ac:dyDescent="0.35">
      <c r="B20" s="53"/>
      <c r="C20" s="539" t="s">
        <v>724</v>
      </c>
      <c r="D20" s="540"/>
      <c r="E20" s="540"/>
      <c r="F20" s="540"/>
      <c r="G20" s="540"/>
      <c r="H20" s="392"/>
      <c r="I20" s="17"/>
      <c r="J20" s="17"/>
      <c r="K20" s="17"/>
      <c r="L20" s="17"/>
      <c r="M20" s="17"/>
      <c r="N20" s="17"/>
      <c r="O20" s="17"/>
      <c r="P20" s="17"/>
      <c r="Q20" s="17"/>
      <c r="R20" s="17"/>
      <c r="S20" s="17"/>
      <c r="T20" s="17"/>
      <c r="U20" s="17"/>
      <c r="V20" s="17"/>
      <c r="W20" s="17"/>
      <c r="X20" s="17"/>
      <c r="Y20" s="17"/>
      <c r="Z20" s="17"/>
      <c r="AA20" s="17"/>
      <c r="AB20" s="17"/>
      <c r="AC20" s="17"/>
      <c r="AD20" s="54"/>
    </row>
    <row r="21" spans="2:30" ht="12.75" customHeight="1" x14ac:dyDescent="0.25">
      <c r="B21" s="543"/>
      <c r="C21" s="123"/>
      <c r="D21" s="544"/>
      <c r="E21" s="544"/>
      <c r="F21" s="544"/>
      <c r="G21" s="544"/>
      <c r="H21" s="544"/>
      <c r="I21" s="545"/>
      <c r="J21" s="123"/>
      <c r="K21" s="546"/>
      <c r="L21" s="546"/>
      <c r="M21" s="546"/>
      <c r="N21" s="123"/>
      <c r="O21" s="123"/>
      <c r="P21" s="123"/>
      <c r="Q21" s="123"/>
      <c r="R21" s="123"/>
      <c r="S21" s="123"/>
      <c r="T21" s="123"/>
      <c r="U21" s="123"/>
      <c r="V21" s="123"/>
      <c r="W21" s="123"/>
      <c r="X21" s="123"/>
      <c r="Y21" s="123"/>
      <c r="Z21" s="123"/>
      <c r="AA21" s="123"/>
      <c r="AB21" s="123"/>
      <c r="AC21" s="123"/>
      <c r="AD21" s="547"/>
    </row>
    <row r="22" spans="2:30" ht="18" customHeight="1" x14ac:dyDescent="0.25">
      <c r="B22" s="543"/>
      <c r="C22" s="123"/>
      <c r="D22" s="123"/>
      <c r="E22" s="123"/>
      <c r="F22" s="123"/>
      <c r="G22" s="733" t="s">
        <v>737</v>
      </c>
      <c r="H22" s="733"/>
      <c r="I22" s="733"/>
      <c r="J22" s="733"/>
      <c r="K22" s="733"/>
      <c r="L22" s="733"/>
      <c r="M22" s="733"/>
      <c r="N22" s="733"/>
      <c r="O22" s="123"/>
      <c r="P22" s="17"/>
      <c r="Q22" s="17"/>
      <c r="R22" s="17"/>
      <c r="S22" s="17"/>
      <c r="T22" s="17"/>
      <c r="U22" s="17"/>
      <c r="V22" s="17"/>
      <c r="W22" s="17"/>
      <c r="X22" s="123"/>
      <c r="Y22" s="123"/>
      <c r="Z22" s="123"/>
      <c r="AA22" s="123"/>
      <c r="AB22" s="123"/>
      <c r="AC22" s="123"/>
      <c r="AD22" s="547"/>
    </row>
    <row r="23" spans="2:30" ht="18" customHeight="1" x14ac:dyDescent="0.25">
      <c r="B23" s="543"/>
      <c r="C23" s="123"/>
      <c r="D23" s="123"/>
      <c r="E23" s="123"/>
      <c r="F23" s="123"/>
      <c r="G23" s="123"/>
      <c r="H23" s="559" t="s">
        <v>726</v>
      </c>
      <c r="I23" s="123"/>
      <c r="J23" s="123"/>
      <c r="K23" s="123"/>
      <c r="L23" s="123"/>
      <c r="M23" s="123"/>
      <c r="N23" s="123"/>
      <c r="O23" s="123"/>
      <c r="P23" s="733" t="s">
        <v>738</v>
      </c>
      <c r="Q23" s="733"/>
      <c r="R23" s="733"/>
      <c r="S23" s="733"/>
      <c r="T23" s="733"/>
      <c r="U23" s="733"/>
      <c r="V23" s="733"/>
      <c r="W23" s="733"/>
      <c r="X23" s="123"/>
      <c r="Y23" s="123"/>
      <c r="Z23" s="123"/>
      <c r="AA23" s="123"/>
      <c r="AB23" s="123"/>
      <c r="AC23" s="123"/>
      <c r="AD23" s="547"/>
    </row>
    <row r="24" spans="2:30" ht="18" customHeight="1" thickBot="1" x14ac:dyDescent="0.3">
      <c r="B24" s="543"/>
      <c r="C24" s="123"/>
      <c r="D24" s="123"/>
      <c r="E24" s="123"/>
      <c r="F24" s="123"/>
      <c r="G24" s="123"/>
      <c r="H24" s="559"/>
      <c r="I24" s="123"/>
      <c r="J24" s="548" t="s">
        <v>625</v>
      </c>
      <c r="K24" s="573">
        <v>145</v>
      </c>
      <c r="L24" s="549" t="s">
        <v>735</v>
      </c>
      <c r="M24" s="123"/>
      <c r="N24" s="123"/>
      <c r="O24" s="123"/>
      <c r="P24" s="733"/>
      <c r="Q24" s="733"/>
      <c r="R24" s="733"/>
      <c r="S24" s="733"/>
      <c r="T24" s="733"/>
      <c r="U24" s="733"/>
      <c r="V24" s="733"/>
      <c r="W24" s="733"/>
      <c r="X24" s="123"/>
      <c r="Y24" s="123"/>
      <c r="Z24" s="123"/>
      <c r="AA24" s="123"/>
      <c r="AB24" s="123"/>
      <c r="AC24" s="123"/>
      <c r="AD24" s="547"/>
    </row>
    <row r="25" spans="2:30" ht="18" customHeight="1" thickTop="1" x14ac:dyDescent="0.25">
      <c r="B25" s="543"/>
      <c r="C25" s="123"/>
      <c r="D25" s="123"/>
      <c r="E25" s="123"/>
      <c r="F25" s="123"/>
      <c r="G25" s="123"/>
      <c r="H25" s="559" t="s">
        <v>725</v>
      </c>
      <c r="I25" s="123"/>
      <c r="J25" s="123"/>
      <c r="K25" s="123"/>
      <c r="L25" s="123"/>
      <c r="M25" s="123"/>
      <c r="N25" s="123"/>
      <c r="O25" s="123"/>
      <c r="P25" s="559" t="s">
        <v>726</v>
      </c>
      <c r="Q25" s="123"/>
      <c r="R25" s="123"/>
      <c r="S25" s="123"/>
      <c r="T25" s="123"/>
      <c r="U25" s="123"/>
      <c r="V25" s="123"/>
      <c r="W25" s="123"/>
      <c r="X25" s="123"/>
      <c r="Y25" s="123"/>
      <c r="Z25" s="123"/>
      <c r="AA25" s="123"/>
      <c r="AB25" s="123"/>
      <c r="AC25" s="123"/>
      <c r="AD25" s="547"/>
    </row>
    <row r="26" spans="2:30" ht="18" customHeight="1" thickBot="1" x14ac:dyDescent="0.3">
      <c r="B26" s="543"/>
      <c r="C26" s="123"/>
      <c r="D26" s="123"/>
      <c r="E26" s="123"/>
      <c r="F26" s="123"/>
      <c r="G26" s="123"/>
      <c r="H26" s="124"/>
      <c r="I26" s="123"/>
      <c r="J26" s="550" t="s">
        <v>503</v>
      </c>
      <c r="K26" s="144" t="s">
        <v>353</v>
      </c>
      <c r="L26" s="123"/>
      <c r="M26" s="123"/>
      <c r="N26" s="123"/>
      <c r="O26" s="123"/>
      <c r="P26" s="559"/>
      <c r="Q26" s="123"/>
      <c r="R26" s="548" t="s">
        <v>625</v>
      </c>
      <c r="S26" s="573">
        <v>150</v>
      </c>
      <c r="T26" s="549" t="s">
        <v>736</v>
      </c>
      <c r="U26" s="123"/>
      <c r="V26" s="123"/>
      <c r="W26" s="123"/>
      <c r="X26" s="123"/>
      <c r="Y26" s="123"/>
      <c r="Z26" s="123"/>
      <c r="AA26" s="123"/>
      <c r="AB26" s="123"/>
      <c r="AC26" s="123"/>
      <c r="AD26" s="547"/>
    </row>
    <row r="27" spans="2:30" ht="18" customHeight="1" thickBot="1" x14ac:dyDescent="0.3">
      <c r="B27" s="543"/>
      <c r="C27" s="123"/>
      <c r="D27" s="124"/>
      <c r="E27" s="123"/>
      <c r="F27" s="123"/>
      <c r="G27" s="123"/>
      <c r="H27" s="124"/>
      <c r="I27" s="123"/>
      <c r="J27" s="550" t="s">
        <v>743</v>
      </c>
      <c r="K27" s="551">
        <v>26.1</v>
      </c>
      <c r="L27" s="742" t="s">
        <v>918</v>
      </c>
      <c r="M27" s="742"/>
      <c r="N27" s="742"/>
      <c r="O27" s="123"/>
      <c r="P27" s="559"/>
      <c r="Q27" s="123"/>
      <c r="R27" s="548" t="s">
        <v>571</v>
      </c>
      <c r="S27" s="574">
        <v>46.1</v>
      </c>
      <c r="T27" s="549" t="s">
        <v>732</v>
      </c>
      <c r="U27" s="123"/>
      <c r="V27" s="123"/>
      <c r="W27" s="123"/>
      <c r="X27" s="123"/>
      <c r="Y27" s="123"/>
      <c r="Z27" s="123"/>
      <c r="AA27" s="123"/>
      <c r="AB27" s="123"/>
      <c r="AC27" s="123"/>
      <c r="AD27" s="547"/>
    </row>
    <row r="28" spans="2:30" ht="18" customHeight="1" thickTop="1" x14ac:dyDescent="0.25">
      <c r="B28" s="543"/>
      <c r="C28" s="123"/>
      <c r="D28" s="124"/>
      <c r="E28" s="123"/>
      <c r="F28" s="123"/>
      <c r="G28" s="123"/>
      <c r="H28" s="124"/>
      <c r="I28" s="123"/>
      <c r="J28" s="554"/>
      <c r="K28" s="320"/>
      <c r="L28" s="742"/>
      <c r="M28" s="742"/>
      <c r="N28" s="742"/>
      <c r="O28" s="123"/>
      <c r="P28" s="559" t="s">
        <v>727</v>
      </c>
      <c r="Q28" s="123"/>
      <c r="R28" s="123"/>
      <c r="S28" s="123"/>
      <c r="T28" s="123"/>
      <c r="U28" s="123"/>
      <c r="V28" s="123"/>
      <c r="W28" s="123"/>
      <c r="X28" s="123"/>
      <c r="Y28" s="123"/>
      <c r="Z28" s="123"/>
      <c r="AA28" s="123"/>
      <c r="AB28" s="123"/>
      <c r="AC28" s="123"/>
      <c r="AD28" s="547"/>
    </row>
    <row r="29" spans="2:30" ht="18" customHeight="1" thickBot="1" x14ac:dyDescent="0.3">
      <c r="B29" s="543"/>
      <c r="C29" s="123"/>
      <c r="D29" s="123"/>
      <c r="E29" s="123"/>
      <c r="F29" s="123"/>
      <c r="G29" s="123"/>
      <c r="H29" s="123"/>
      <c r="I29" s="123"/>
      <c r="J29" s="123"/>
      <c r="K29" s="123"/>
      <c r="L29" s="123"/>
      <c r="M29" s="123"/>
      <c r="N29" s="123"/>
      <c r="O29" s="123"/>
      <c r="P29" s="123"/>
      <c r="Q29" s="123"/>
      <c r="R29" s="550" t="s">
        <v>503</v>
      </c>
      <c r="S29" s="144" t="s">
        <v>354</v>
      </c>
      <c r="T29" s="740" t="s">
        <v>751</v>
      </c>
      <c r="U29" s="741"/>
      <c r="V29" s="741"/>
      <c r="W29" s="741"/>
      <c r="X29" s="123"/>
      <c r="Y29" s="123"/>
      <c r="Z29" s="123"/>
      <c r="AA29" s="123"/>
      <c r="AB29" s="123"/>
      <c r="AC29" s="123"/>
      <c r="AD29" s="547"/>
    </row>
    <row r="30" spans="2:30" ht="18" customHeight="1" x14ac:dyDescent="0.25">
      <c r="B30" s="543"/>
      <c r="C30" s="123"/>
      <c r="D30" s="555" t="s">
        <v>729</v>
      </c>
      <c r="E30" s="123"/>
      <c r="F30" s="123"/>
      <c r="G30" s="123"/>
      <c r="H30" s="123"/>
      <c r="I30" s="123"/>
      <c r="J30" s="123"/>
      <c r="K30" s="123"/>
      <c r="L30" s="123"/>
      <c r="M30" s="123"/>
      <c r="N30" s="123"/>
      <c r="O30" s="123"/>
      <c r="P30" s="123"/>
      <c r="Q30" s="123"/>
      <c r="R30" s="550" t="s">
        <v>728</v>
      </c>
      <c r="S30" s="552">
        <v>0.82</v>
      </c>
      <c r="T30" s="740"/>
      <c r="U30" s="741"/>
      <c r="V30" s="741"/>
      <c r="W30" s="741"/>
      <c r="X30" s="123"/>
      <c r="Y30" s="123"/>
      <c r="Z30" s="123"/>
      <c r="AA30" s="123"/>
      <c r="AB30" s="123"/>
      <c r="AC30" s="123"/>
      <c r="AD30" s="547"/>
    </row>
    <row r="31" spans="2:30" ht="18" customHeight="1" x14ac:dyDescent="0.35">
      <c r="B31" s="543"/>
      <c r="C31" s="123"/>
      <c r="D31" s="559" t="s">
        <v>734</v>
      </c>
      <c r="E31" s="123" t="s">
        <v>731</v>
      </c>
      <c r="F31" s="123"/>
      <c r="G31" s="123"/>
      <c r="H31" s="123"/>
      <c r="I31" s="123"/>
      <c r="J31" s="123"/>
      <c r="K31" s="123"/>
      <c r="L31" s="123"/>
      <c r="M31" s="123"/>
      <c r="N31" s="123"/>
      <c r="O31" s="123"/>
      <c r="P31" s="123"/>
      <c r="Q31" s="123"/>
      <c r="R31" s="123"/>
      <c r="S31" s="123"/>
      <c r="T31" s="561"/>
      <c r="U31" s="561"/>
      <c r="V31" s="561"/>
      <c r="W31" s="561"/>
      <c r="X31" s="123"/>
      <c r="Y31" s="123"/>
      <c r="Z31" s="123"/>
      <c r="AA31" s="123"/>
      <c r="AB31" s="123"/>
      <c r="AC31" s="123"/>
      <c r="AD31" s="547"/>
    </row>
    <row r="32" spans="2:30" ht="18" customHeight="1" x14ac:dyDescent="0.25">
      <c r="B32" s="543"/>
      <c r="C32" s="123"/>
      <c r="D32" s="559"/>
      <c r="E32" s="123" t="s">
        <v>733</v>
      </c>
      <c r="F32" s="123"/>
      <c r="G32" s="123"/>
      <c r="H32" s="123"/>
      <c r="I32" s="123"/>
      <c r="J32" s="123"/>
      <c r="K32" s="123"/>
      <c r="L32" s="123"/>
      <c r="M32" s="123"/>
      <c r="N32" s="123"/>
      <c r="O32" s="123"/>
      <c r="P32" s="739" t="s">
        <v>750</v>
      </c>
      <c r="Q32" s="739"/>
      <c r="R32" s="739"/>
      <c r="S32" s="739"/>
      <c r="T32" s="739"/>
      <c r="U32" s="739"/>
      <c r="V32" s="739"/>
      <c r="W32" s="739"/>
      <c r="X32" s="123"/>
      <c r="Y32" s="123"/>
      <c r="Z32" s="123"/>
      <c r="AA32" s="123"/>
      <c r="AB32" s="123"/>
      <c r="AC32" s="123"/>
      <c r="AD32" s="547"/>
    </row>
    <row r="33" spans="2:30" ht="18" customHeight="1" x14ac:dyDescent="0.25">
      <c r="B33" s="543"/>
      <c r="C33" s="123"/>
      <c r="D33" s="558" t="s">
        <v>726</v>
      </c>
      <c r="E33" s="123"/>
      <c r="F33" s="123"/>
      <c r="G33" s="123"/>
      <c r="H33" s="123"/>
      <c r="I33" s="123"/>
      <c r="J33" s="123"/>
      <c r="K33" s="123"/>
      <c r="L33" s="123"/>
      <c r="M33" s="123"/>
      <c r="N33" s="123"/>
      <c r="O33" s="123"/>
      <c r="P33" s="739"/>
      <c r="Q33" s="739"/>
      <c r="R33" s="739"/>
      <c r="S33" s="739"/>
      <c r="T33" s="739"/>
      <c r="U33" s="739"/>
      <c r="V33" s="739"/>
      <c r="W33" s="739"/>
      <c r="X33" s="123"/>
      <c r="Y33" s="123"/>
      <c r="Z33" s="123"/>
      <c r="AA33" s="123"/>
      <c r="AB33" s="123"/>
      <c r="AC33" s="123"/>
      <c r="AD33" s="547"/>
    </row>
    <row r="34" spans="2:30" ht="18" customHeight="1" thickBot="1" x14ac:dyDescent="0.3">
      <c r="B34" s="543"/>
      <c r="C34" s="123"/>
      <c r="D34" s="559"/>
      <c r="E34" s="124"/>
      <c r="F34" s="548" t="s">
        <v>625</v>
      </c>
      <c r="G34" s="573">
        <v>155</v>
      </c>
      <c r="H34" s="549" t="s">
        <v>736</v>
      </c>
      <c r="I34" s="123"/>
      <c r="J34" s="123"/>
      <c r="K34" s="123"/>
      <c r="L34" s="123"/>
      <c r="M34" s="123"/>
      <c r="N34" s="123"/>
      <c r="O34" s="123"/>
      <c r="P34" s="17"/>
      <c r="Q34" s="17"/>
      <c r="R34" s="17"/>
      <c r="S34" s="17"/>
      <c r="T34" s="17"/>
      <c r="U34" s="17"/>
      <c r="V34" s="17"/>
      <c r="W34" s="123"/>
      <c r="X34" s="123"/>
      <c r="Y34" s="123"/>
      <c r="Z34" s="123"/>
      <c r="AA34" s="123"/>
      <c r="AB34" s="123"/>
      <c r="AC34" s="123"/>
      <c r="AD34" s="547"/>
    </row>
    <row r="35" spans="2:30" ht="18" customHeight="1" thickTop="1" thickBot="1" x14ac:dyDescent="0.3">
      <c r="B35" s="543"/>
      <c r="C35" s="123"/>
      <c r="D35" s="559"/>
      <c r="E35" s="124"/>
      <c r="F35" s="548" t="s">
        <v>571</v>
      </c>
      <c r="G35" s="574">
        <v>31.1</v>
      </c>
      <c r="H35" s="549" t="s">
        <v>8</v>
      </c>
      <c r="I35" s="123"/>
      <c r="J35" s="123"/>
      <c r="K35" s="123"/>
      <c r="L35" s="123"/>
      <c r="M35" s="123"/>
      <c r="N35" s="123"/>
      <c r="O35" s="123"/>
      <c r="P35" s="123"/>
      <c r="Q35" s="123"/>
      <c r="R35" s="123"/>
      <c r="S35" s="123"/>
      <c r="T35" s="123"/>
      <c r="U35" s="123"/>
      <c r="V35" s="123"/>
      <c r="W35" s="123"/>
      <c r="X35" s="123"/>
      <c r="Y35" s="123"/>
      <c r="Z35" s="17"/>
      <c r="AA35" s="17"/>
      <c r="AB35" s="17"/>
      <c r="AC35" s="17"/>
      <c r="AD35" s="547"/>
    </row>
    <row r="36" spans="2:30" ht="18" customHeight="1" thickTop="1" x14ac:dyDescent="0.25">
      <c r="B36" s="543"/>
      <c r="C36" s="123"/>
      <c r="D36" s="558" t="s">
        <v>727</v>
      </c>
      <c r="E36" s="123"/>
      <c r="F36" s="123"/>
      <c r="G36" s="123"/>
      <c r="H36" s="123"/>
      <c r="I36" s="123"/>
      <c r="J36" s="123"/>
      <c r="K36" s="123"/>
      <c r="L36" s="123"/>
      <c r="M36" s="123"/>
      <c r="N36" s="123"/>
      <c r="O36" s="123"/>
      <c r="P36" s="123"/>
      <c r="Q36" s="123"/>
      <c r="R36" s="123"/>
      <c r="S36" s="738" t="s">
        <v>749</v>
      </c>
      <c r="T36" s="738"/>
      <c r="U36" s="738"/>
      <c r="V36" s="738"/>
      <c r="W36" s="738"/>
      <c r="X36" s="123"/>
      <c r="Y36" s="553"/>
      <c r="Z36" s="17"/>
      <c r="AA36" s="17"/>
      <c r="AB36" s="17"/>
      <c r="AC36" s="17"/>
      <c r="AD36" s="547"/>
    </row>
    <row r="37" spans="2:30" ht="18" customHeight="1" thickBot="1" x14ac:dyDescent="0.3">
      <c r="B37" s="543"/>
      <c r="C37" s="123"/>
      <c r="D37" s="123"/>
      <c r="E37" s="124"/>
      <c r="F37" s="550" t="s">
        <v>503</v>
      </c>
      <c r="G37" s="144" t="s">
        <v>353</v>
      </c>
      <c r="H37" s="123"/>
      <c r="I37" s="123"/>
      <c r="J37" s="123"/>
      <c r="K37" s="123"/>
      <c r="L37" s="123"/>
      <c r="M37" s="123"/>
      <c r="N37" s="123"/>
      <c r="O37" s="123"/>
      <c r="P37" s="123"/>
      <c r="Q37" s="123"/>
      <c r="R37" s="123"/>
      <c r="S37" s="738"/>
      <c r="T37" s="738"/>
      <c r="U37" s="738"/>
      <c r="V37" s="738"/>
      <c r="W37" s="738"/>
      <c r="X37" s="123"/>
      <c r="Y37" s="553"/>
      <c r="Z37" s="17"/>
      <c r="AA37" s="17"/>
      <c r="AB37" s="17"/>
      <c r="AC37" s="17"/>
      <c r="AD37" s="547"/>
    </row>
    <row r="38" spans="2:30" ht="18" customHeight="1" x14ac:dyDescent="0.25">
      <c r="B38" s="543"/>
      <c r="C38" s="123"/>
      <c r="D38" s="123"/>
      <c r="E38" s="124"/>
      <c r="F38" s="550" t="s">
        <v>730</v>
      </c>
      <c r="G38" s="552">
        <v>0.97</v>
      </c>
      <c r="H38" s="123"/>
      <c r="I38" s="123"/>
      <c r="J38" s="123"/>
      <c r="K38" s="123"/>
      <c r="L38" s="123"/>
      <c r="M38" s="123"/>
      <c r="N38" s="123"/>
      <c r="O38" s="123"/>
      <c r="P38" s="123"/>
      <c r="Q38" s="123"/>
      <c r="R38" s="123"/>
      <c r="S38" s="514" t="s">
        <v>835</v>
      </c>
      <c r="T38" s="123"/>
      <c r="U38" s="123"/>
      <c r="V38" s="123"/>
      <c r="W38" s="123"/>
      <c r="X38" s="123"/>
      <c r="Y38" s="123"/>
      <c r="Z38" s="17"/>
      <c r="AA38" s="17"/>
      <c r="AB38" s="17"/>
      <c r="AC38" s="17"/>
      <c r="AD38" s="547"/>
    </row>
    <row r="39" spans="2:30" ht="18" customHeight="1" x14ac:dyDescent="0.25">
      <c r="B39" s="543"/>
      <c r="C39" s="123"/>
      <c r="D39" s="124"/>
      <c r="E39" s="123"/>
      <c r="F39" s="123"/>
      <c r="G39" s="123"/>
      <c r="H39" s="123"/>
      <c r="I39" s="123"/>
      <c r="J39" s="123"/>
      <c r="K39" s="123"/>
      <c r="L39" s="123"/>
      <c r="M39" s="123"/>
      <c r="N39" s="123"/>
      <c r="O39" s="123"/>
      <c r="P39" s="123"/>
      <c r="Q39" s="123"/>
      <c r="R39" s="123"/>
      <c r="S39" s="514" t="s">
        <v>834</v>
      </c>
      <c r="T39" s="123"/>
      <c r="U39" s="123"/>
      <c r="V39" s="123"/>
      <c r="W39" s="123"/>
      <c r="X39" s="123"/>
      <c r="Y39" s="123"/>
      <c r="Z39" s="17"/>
      <c r="AA39" s="17"/>
      <c r="AB39" s="17"/>
      <c r="AC39" s="17"/>
      <c r="AD39" s="547"/>
    </row>
    <row r="40" spans="2:30" ht="18" customHeight="1" x14ac:dyDescent="0.25">
      <c r="B40" s="543"/>
      <c r="C40" s="123"/>
      <c r="D40" s="124"/>
      <c r="E40" s="123"/>
      <c r="F40" s="123"/>
      <c r="G40" s="123"/>
      <c r="H40" s="123"/>
      <c r="I40" s="123"/>
      <c r="J40" s="123"/>
      <c r="K40" s="123"/>
      <c r="L40" s="123"/>
      <c r="M40" s="123"/>
      <c r="N40" s="123"/>
      <c r="O40" s="123"/>
      <c r="P40" s="123"/>
      <c r="Q40" s="123"/>
      <c r="R40" s="123"/>
      <c r="S40" s="379" t="s">
        <v>837</v>
      </c>
      <c r="T40" s="123"/>
      <c r="U40" s="123"/>
      <c r="V40" s="123"/>
      <c r="W40" s="123"/>
      <c r="X40" s="123"/>
      <c r="Y40" s="123"/>
      <c r="Z40" s="17"/>
      <c r="AA40" s="17"/>
      <c r="AB40" s="17"/>
      <c r="AC40" s="17"/>
      <c r="AD40" s="547"/>
    </row>
    <row r="41" spans="2:30" ht="18" customHeight="1" x14ac:dyDescent="0.25">
      <c r="B41" s="543"/>
      <c r="C41" s="123"/>
      <c r="D41" s="124"/>
      <c r="E41" s="123"/>
      <c r="F41" s="123"/>
      <c r="G41" s="123"/>
      <c r="H41" s="123"/>
      <c r="I41" s="123"/>
      <c r="J41" s="123"/>
      <c r="K41" s="123"/>
      <c r="L41" s="123"/>
      <c r="M41" s="123"/>
      <c r="N41" s="123"/>
      <c r="O41" s="123"/>
      <c r="P41" s="123"/>
      <c r="Q41" s="123"/>
      <c r="R41" s="123"/>
      <c r="S41" s="123"/>
      <c r="T41" s="123"/>
      <c r="U41" s="123"/>
      <c r="V41" s="123"/>
      <c r="W41" s="123"/>
      <c r="X41" s="123"/>
      <c r="Y41" s="123"/>
      <c r="Z41" s="17"/>
      <c r="AA41" s="17"/>
      <c r="AB41" s="17"/>
      <c r="AC41" s="17"/>
      <c r="AD41" s="547"/>
    </row>
    <row r="42" spans="2:30" ht="18" customHeight="1" x14ac:dyDescent="0.25">
      <c r="B42" s="543"/>
      <c r="C42" s="123"/>
      <c r="D42" s="124"/>
      <c r="E42" s="123"/>
      <c r="F42" s="123"/>
      <c r="G42" s="123"/>
      <c r="H42" s="123"/>
      <c r="I42" s="123"/>
      <c r="J42" s="123"/>
      <c r="K42" s="123"/>
      <c r="L42" s="123"/>
      <c r="M42" s="123"/>
      <c r="N42" s="123"/>
      <c r="O42" s="123"/>
      <c r="P42" s="123"/>
      <c r="Q42" s="123"/>
      <c r="R42" s="123"/>
      <c r="S42" s="123"/>
      <c r="T42" s="123"/>
      <c r="U42" s="123"/>
      <c r="V42" s="123"/>
      <c r="W42" s="123"/>
      <c r="X42" s="123"/>
      <c r="Y42" s="123"/>
      <c r="Z42" s="17"/>
      <c r="AA42" s="17"/>
      <c r="AB42" s="17"/>
      <c r="AC42" s="17"/>
      <c r="AD42" s="547"/>
    </row>
    <row r="43" spans="2:30" ht="18" customHeight="1" x14ac:dyDescent="0.25">
      <c r="B43" s="543"/>
      <c r="C43" s="123"/>
      <c r="D43" s="124"/>
      <c r="E43" s="123"/>
      <c r="F43" s="123"/>
      <c r="G43" s="123"/>
      <c r="H43" s="123"/>
      <c r="I43" s="123"/>
      <c r="J43" s="123"/>
      <c r="K43" s="123"/>
      <c r="L43" s="123"/>
      <c r="M43" s="123"/>
      <c r="N43" s="123"/>
      <c r="O43" s="123"/>
      <c r="P43" s="123"/>
      <c r="Q43" s="123"/>
      <c r="R43" s="123"/>
      <c r="S43" s="123"/>
      <c r="T43" s="123"/>
      <c r="U43" s="123"/>
      <c r="V43" s="123"/>
      <c r="W43" s="123"/>
      <c r="X43" s="123"/>
      <c r="Y43" s="123"/>
      <c r="Z43" s="17"/>
      <c r="AA43" s="17"/>
      <c r="AB43" s="17"/>
      <c r="AC43" s="17"/>
      <c r="AD43" s="547"/>
    </row>
    <row r="44" spans="2:30" ht="18" customHeight="1" x14ac:dyDescent="0.25">
      <c r="B44" s="543"/>
      <c r="C44" s="123"/>
      <c r="D44" s="124"/>
      <c r="E44" s="123"/>
      <c r="F44" s="123"/>
      <c r="G44" s="123"/>
      <c r="H44" s="123"/>
      <c r="I44" s="123"/>
      <c r="J44" s="123"/>
      <c r="K44" s="123"/>
      <c r="L44" s="123"/>
      <c r="M44" s="123"/>
      <c r="N44" s="123"/>
      <c r="O44" s="123"/>
      <c r="P44" s="123"/>
      <c r="Q44" s="123"/>
      <c r="R44" s="560"/>
      <c r="S44" s="560" t="s">
        <v>748</v>
      </c>
      <c r="T44" s="123"/>
      <c r="U44" s="123"/>
      <c r="V44" s="123"/>
      <c r="W44" s="123"/>
      <c r="X44" s="123"/>
      <c r="Y44" s="123"/>
      <c r="Z44" s="17"/>
      <c r="AA44" s="17"/>
      <c r="AB44" s="17"/>
      <c r="AC44" s="17"/>
      <c r="AD44" s="547"/>
    </row>
    <row r="45" spans="2:30" ht="18" customHeight="1" x14ac:dyDescent="0.25">
      <c r="B45" s="543"/>
      <c r="C45" s="123"/>
      <c r="D45" s="124"/>
      <c r="E45" s="123"/>
      <c r="F45" s="123"/>
      <c r="G45" s="123"/>
      <c r="H45" s="123"/>
      <c r="I45" s="123"/>
      <c r="J45" s="123"/>
      <c r="K45" s="123"/>
      <c r="L45" s="123"/>
      <c r="M45" s="123"/>
      <c r="N45" s="123"/>
      <c r="O45" s="123"/>
      <c r="P45" s="123"/>
      <c r="Q45" s="123"/>
      <c r="R45" s="123"/>
      <c r="S45" s="123"/>
      <c r="T45" s="123"/>
      <c r="U45" s="123"/>
      <c r="V45" s="123"/>
      <c r="W45" s="123"/>
      <c r="X45" s="123"/>
      <c r="Y45" s="123"/>
      <c r="Z45" s="17"/>
      <c r="AA45" s="17"/>
      <c r="AB45" s="17"/>
      <c r="AC45" s="17"/>
      <c r="AD45" s="547"/>
    </row>
    <row r="46" spans="2:30" ht="18" customHeight="1" x14ac:dyDescent="0.25">
      <c r="B46" s="543"/>
      <c r="C46" s="123"/>
      <c r="D46" s="124"/>
      <c r="E46" s="123"/>
      <c r="F46" s="123"/>
      <c r="G46" s="123"/>
      <c r="H46" s="123"/>
      <c r="I46" s="123"/>
      <c r="J46" s="123"/>
      <c r="K46" s="123"/>
      <c r="L46" s="123"/>
      <c r="M46" s="123"/>
      <c r="N46" s="123"/>
      <c r="O46" s="123"/>
      <c r="P46" s="123"/>
      <c r="Q46" s="123"/>
      <c r="R46" s="123"/>
      <c r="S46" s="123"/>
      <c r="T46" s="123"/>
      <c r="U46" s="123"/>
      <c r="V46" s="123"/>
      <c r="W46" s="123"/>
      <c r="X46" s="123"/>
      <c r="Y46" s="123"/>
      <c r="Z46" s="17"/>
      <c r="AA46" s="17"/>
      <c r="AB46" s="17"/>
      <c r="AC46" s="17"/>
      <c r="AD46" s="547"/>
    </row>
    <row r="47" spans="2:30" ht="18" customHeight="1" x14ac:dyDescent="0.25">
      <c r="B47" s="543"/>
      <c r="C47" s="123"/>
      <c r="D47" s="124"/>
      <c r="E47" s="123"/>
      <c r="F47" s="123"/>
      <c r="G47" s="123"/>
      <c r="H47" s="123"/>
      <c r="I47" s="123"/>
      <c r="J47" s="123"/>
      <c r="K47" s="123"/>
      <c r="L47" s="123"/>
      <c r="M47" s="123"/>
      <c r="N47" s="557"/>
      <c r="O47" s="557"/>
      <c r="P47" s="123"/>
      <c r="Q47" s="123"/>
      <c r="R47" s="123"/>
      <c r="S47" s="123"/>
      <c r="T47" s="123"/>
      <c r="U47" s="123"/>
      <c r="V47" s="123"/>
      <c r="W47" s="123"/>
      <c r="X47" s="123"/>
      <c r="Y47" s="123"/>
      <c r="Z47" s="123"/>
      <c r="AA47" s="123"/>
      <c r="AB47" s="123"/>
      <c r="AC47" s="123"/>
      <c r="AD47" s="547"/>
    </row>
    <row r="48" spans="2:30" ht="18" customHeight="1" x14ac:dyDescent="0.25">
      <c r="B48" s="543"/>
      <c r="C48" s="123"/>
      <c r="D48" s="124"/>
      <c r="E48" s="123"/>
      <c r="F48" s="123"/>
      <c r="G48" s="123"/>
      <c r="H48" s="123"/>
      <c r="I48" s="123"/>
      <c r="J48" s="123"/>
      <c r="K48" s="123"/>
      <c r="L48" s="123"/>
      <c r="M48" s="123"/>
      <c r="N48" s="123"/>
      <c r="O48" s="123"/>
      <c r="P48" s="123"/>
      <c r="Q48" s="123"/>
      <c r="R48" s="123"/>
      <c r="S48" s="556" t="s">
        <v>745</v>
      </c>
      <c r="T48" s="123"/>
      <c r="U48" s="123"/>
      <c r="V48" s="123"/>
      <c r="W48" s="123"/>
      <c r="X48" s="123"/>
      <c r="Y48" s="123"/>
      <c r="Z48" s="123"/>
      <c r="AA48" s="123"/>
      <c r="AB48" s="123"/>
      <c r="AC48" s="123"/>
      <c r="AD48" s="547"/>
    </row>
    <row r="49" spans="2:30" ht="18" customHeight="1" x14ac:dyDescent="0.25">
      <c r="B49" s="543"/>
      <c r="C49" s="123"/>
      <c r="D49" s="124"/>
      <c r="E49" s="123"/>
      <c r="F49" s="123"/>
      <c r="G49" s="123"/>
      <c r="H49" s="123"/>
      <c r="I49" s="123"/>
      <c r="J49" s="123"/>
      <c r="K49" s="123"/>
      <c r="L49" s="123"/>
      <c r="M49" s="123"/>
      <c r="N49" s="123"/>
      <c r="O49" s="123"/>
      <c r="P49" s="123"/>
      <c r="Q49" s="123"/>
      <c r="R49" s="123"/>
      <c r="S49" s="556" t="s">
        <v>746</v>
      </c>
      <c r="T49" s="123"/>
      <c r="U49" s="123"/>
      <c r="V49" s="123"/>
      <c r="W49" s="123"/>
      <c r="X49" s="123"/>
      <c r="Y49" s="123"/>
      <c r="Z49" s="123"/>
      <c r="AA49" s="123"/>
      <c r="AB49" s="123"/>
      <c r="AC49" s="123"/>
      <c r="AD49" s="547"/>
    </row>
    <row r="50" spans="2:30" ht="18" customHeight="1" x14ac:dyDescent="0.25">
      <c r="B50" s="543"/>
      <c r="C50" s="123"/>
      <c r="D50" s="124"/>
      <c r="E50" s="123"/>
      <c r="F50" s="123"/>
      <c r="G50" s="123"/>
      <c r="H50" s="123"/>
      <c r="I50" s="123"/>
      <c r="J50" s="123"/>
      <c r="K50" s="123"/>
      <c r="L50" s="123"/>
      <c r="M50" s="123"/>
      <c r="N50" s="123"/>
      <c r="O50" s="123"/>
      <c r="P50" s="123"/>
      <c r="Q50" s="123"/>
      <c r="R50" s="123"/>
      <c r="S50" s="556" t="s">
        <v>833</v>
      </c>
      <c r="T50" s="123"/>
      <c r="U50" s="123"/>
      <c r="V50" s="123"/>
      <c r="W50" s="123"/>
      <c r="X50" s="123"/>
      <c r="Y50" s="123"/>
      <c r="Z50" s="123"/>
      <c r="AA50" s="123"/>
      <c r="AB50" s="123"/>
      <c r="AC50" s="123"/>
      <c r="AD50" s="547"/>
    </row>
    <row r="51" spans="2:30" ht="18" customHeight="1" x14ac:dyDescent="0.25">
      <c r="B51" s="543"/>
      <c r="C51" s="123"/>
      <c r="D51" s="124"/>
      <c r="E51" s="123"/>
      <c r="F51" s="123"/>
      <c r="G51" s="123"/>
      <c r="H51" s="123"/>
      <c r="I51" s="123"/>
      <c r="J51" s="123"/>
      <c r="K51" s="123"/>
      <c r="L51" s="123"/>
      <c r="M51" s="123"/>
      <c r="N51" s="123"/>
      <c r="O51" s="123"/>
      <c r="P51" s="123"/>
      <c r="Q51" s="123"/>
      <c r="R51" s="123"/>
      <c r="S51" s="556" t="s">
        <v>747</v>
      </c>
      <c r="T51" s="123"/>
      <c r="U51" s="123"/>
      <c r="V51" s="123"/>
      <c r="W51" s="123"/>
      <c r="X51" s="123"/>
      <c r="Y51" s="123"/>
      <c r="Z51" s="123"/>
      <c r="AA51" s="123"/>
      <c r="AB51" s="123"/>
      <c r="AC51" s="123"/>
      <c r="AD51" s="547"/>
    </row>
    <row r="52" spans="2:30" ht="18" customHeight="1" x14ac:dyDescent="0.25">
      <c r="B52" s="543"/>
      <c r="C52" s="123"/>
      <c r="D52" s="124"/>
      <c r="E52" s="123"/>
      <c r="F52" s="123"/>
      <c r="G52" s="123"/>
      <c r="H52" s="123"/>
      <c r="I52" s="123"/>
      <c r="J52" s="123"/>
      <c r="K52" s="123"/>
      <c r="L52" s="123"/>
      <c r="M52" s="123"/>
      <c r="N52" s="123"/>
      <c r="O52" s="123"/>
      <c r="P52" s="123"/>
      <c r="Q52" s="123"/>
      <c r="R52" s="123"/>
      <c r="S52" s="567" t="s">
        <v>836</v>
      </c>
      <c r="T52" s="123"/>
      <c r="U52" s="123"/>
      <c r="V52" s="123"/>
      <c r="W52" s="123"/>
      <c r="X52" s="123"/>
      <c r="Y52" s="123"/>
      <c r="Z52" s="123"/>
      <c r="AA52" s="123"/>
      <c r="AB52" s="123"/>
      <c r="AC52" s="123"/>
      <c r="AD52" s="547"/>
    </row>
    <row r="53" spans="2:30" ht="18" customHeight="1" x14ac:dyDescent="0.25">
      <c r="B53" s="543"/>
      <c r="C53" s="123"/>
      <c r="D53" s="124"/>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547"/>
    </row>
    <row r="54" spans="2:30" ht="18" customHeight="1" x14ac:dyDescent="0.25">
      <c r="B54" s="543"/>
      <c r="C54" s="123"/>
      <c r="D54" s="124"/>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547"/>
    </row>
    <row r="55" spans="2:30" ht="18" customHeight="1" x14ac:dyDescent="0.25">
      <c r="B55" s="543"/>
      <c r="C55" s="123"/>
      <c r="D55" s="124"/>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547"/>
    </row>
    <row r="56" spans="2:30" ht="18" customHeight="1" x14ac:dyDescent="0.25">
      <c r="B56" s="543"/>
      <c r="C56" s="123"/>
      <c r="D56" s="124"/>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547"/>
    </row>
    <row r="57" spans="2:30" ht="18" customHeight="1" x14ac:dyDescent="0.25">
      <c r="B57" s="543"/>
      <c r="C57" s="123"/>
      <c r="D57" s="124"/>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547"/>
    </row>
    <row r="58" spans="2:30" ht="20.25" customHeight="1" thickBot="1" x14ac:dyDescent="0.35">
      <c r="B58" s="53"/>
      <c r="C58" s="539" t="s">
        <v>694</v>
      </c>
      <c r="D58" s="540"/>
      <c r="E58" s="540"/>
      <c r="F58" s="540"/>
      <c r="G58" s="193"/>
      <c r="H58" s="17"/>
      <c r="I58" s="17"/>
      <c r="J58" s="17"/>
      <c r="K58" s="17"/>
      <c r="L58" s="17"/>
      <c r="M58" s="17"/>
      <c r="N58" s="17"/>
      <c r="O58" s="17"/>
      <c r="P58" s="17"/>
      <c r="Q58" s="17"/>
      <c r="R58" s="17"/>
      <c r="S58" s="17"/>
      <c r="T58" s="17"/>
      <c r="U58" s="17"/>
      <c r="V58" s="17"/>
      <c r="W58" s="17"/>
      <c r="X58" s="17"/>
      <c r="Y58" s="17"/>
      <c r="Z58" s="17"/>
      <c r="AA58" s="17"/>
      <c r="AB58" s="17"/>
      <c r="AC58" s="17"/>
      <c r="AD58" s="54"/>
    </row>
    <row r="59" spans="2:30" ht="15" customHeight="1" thickBot="1" x14ac:dyDescent="0.3">
      <c r="B59" s="53"/>
      <c r="C59" s="619"/>
      <c r="D59" s="620"/>
      <c r="E59" s="620"/>
      <c r="F59" s="620"/>
      <c r="G59" s="17"/>
      <c r="H59" s="606"/>
      <c r="I59" s="606"/>
      <c r="J59" s="606"/>
      <c r="K59" s="606"/>
      <c r="L59" s="606"/>
      <c r="M59" s="606"/>
      <c r="N59" s="17"/>
      <c r="O59" s="17"/>
      <c r="P59" s="17"/>
      <c r="Q59" s="17"/>
      <c r="R59" s="17"/>
      <c r="S59" s="17"/>
      <c r="T59" s="17"/>
      <c r="U59" s="17"/>
      <c r="V59" s="17"/>
      <c r="W59" s="17"/>
      <c r="X59" s="17"/>
      <c r="Y59" s="17"/>
      <c r="Z59" s="17"/>
      <c r="AA59" s="17"/>
      <c r="AB59" s="17"/>
      <c r="AC59" s="17"/>
      <c r="AD59" s="54"/>
    </row>
    <row r="60" spans="2:30" ht="17.45" customHeight="1" thickBot="1" x14ac:dyDescent="0.3">
      <c r="B60" s="622"/>
      <c r="C60" s="746" t="s">
        <v>702</v>
      </c>
      <c r="D60" s="746"/>
      <c r="E60" s="746"/>
      <c r="F60" s="747"/>
      <c r="G60" s="621"/>
      <c r="H60" s="612" t="s">
        <v>704</v>
      </c>
      <c r="I60" s="605"/>
      <c r="J60" s="123"/>
      <c r="K60" s="123"/>
      <c r="L60" s="123"/>
      <c r="M60" s="607"/>
      <c r="N60" s="17"/>
      <c r="O60" s="17"/>
      <c r="P60" s="17"/>
      <c r="Q60" s="17"/>
      <c r="R60" s="17"/>
      <c r="S60" s="17"/>
      <c r="T60" s="17"/>
      <c r="U60" s="17"/>
      <c r="V60" s="17"/>
      <c r="W60" s="17"/>
      <c r="X60" s="17"/>
      <c r="Y60" s="17"/>
      <c r="Z60" s="17"/>
      <c r="AA60" s="17"/>
      <c r="AB60" s="17"/>
      <c r="AC60" s="17"/>
      <c r="AD60" s="54"/>
    </row>
    <row r="61" spans="2:30" ht="17.45" customHeight="1" x14ac:dyDescent="0.25">
      <c r="B61" s="622"/>
      <c r="C61" s="614" t="s">
        <v>700</v>
      </c>
      <c r="D61" s="516" t="s">
        <v>696</v>
      </c>
      <c r="E61" s="521"/>
      <c r="F61" s="610"/>
      <c r="G61" s="611"/>
      <c r="H61" s="613" t="s">
        <v>691</v>
      </c>
      <c r="I61" s="517"/>
      <c r="J61" s="602"/>
      <c r="K61" s="603" t="s">
        <v>692</v>
      </c>
      <c r="L61" s="604"/>
      <c r="M61" s="608"/>
      <c r="N61" s="17"/>
      <c r="O61" s="17"/>
      <c r="P61" s="43"/>
      <c r="Q61" s="43"/>
      <c r="R61" s="17"/>
      <c r="S61" s="17"/>
      <c r="T61" s="17"/>
      <c r="U61" s="17"/>
      <c r="V61" s="17"/>
      <c r="W61" s="17"/>
      <c r="X61" s="17"/>
      <c r="Y61" s="17"/>
      <c r="Z61" s="17"/>
      <c r="AA61" s="17"/>
      <c r="AB61" s="17"/>
      <c r="AC61" s="17"/>
      <c r="AD61" s="54"/>
    </row>
    <row r="62" spans="2:30" ht="17.45" customHeight="1" x14ac:dyDescent="0.25">
      <c r="B62" s="622"/>
      <c r="C62" s="519"/>
      <c r="D62" s="518" t="s">
        <v>697</v>
      </c>
      <c r="E62" s="514"/>
      <c r="F62" s="611"/>
      <c r="G62" s="611"/>
      <c r="H62" s="614" t="s">
        <v>700</v>
      </c>
      <c r="I62" s="735" t="s">
        <v>695</v>
      </c>
      <c r="J62" s="736"/>
      <c r="K62" s="601" t="s">
        <v>700</v>
      </c>
      <c r="L62" s="513" t="s">
        <v>695</v>
      </c>
      <c r="M62" s="609"/>
      <c r="N62" s="17"/>
      <c r="O62" s="17"/>
      <c r="P62" s="43"/>
      <c r="Q62" s="43"/>
      <c r="R62" s="17"/>
      <c r="S62" s="17"/>
      <c r="T62" s="17"/>
      <c r="U62" s="17"/>
      <c r="V62" s="17"/>
      <c r="W62" s="17"/>
      <c r="X62" s="17"/>
      <c r="Y62" s="17"/>
      <c r="Z62" s="17"/>
      <c r="AA62" s="17"/>
      <c r="AB62" s="17"/>
      <c r="AC62" s="17"/>
      <c r="AD62" s="54"/>
    </row>
    <row r="63" spans="2:30" ht="17.45" customHeight="1" x14ac:dyDescent="0.25">
      <c r="B63" s="622"/>
      <c r="C63" s="515"/>
      <c r="D63" s="517" t="s">
        <v>706</v>
      </c>
      <c r="E63" s="520"/>
      <c r="F63" s="608"/>
      <c r="G63" s="611"/>
      <c r="H63" s="519"/>
      <c r="I63" s="737"/>
      <c r="J63" s="738"/>
      <c r="K63" s="748" t="s">
        <v>703</v>
      </c>
      <c r="L63" s="525" t="s">
        <v>705</v>
      </c>
      <c r="M63" s="610"/>
      <c r="N63" s="17"/>
      <c r="O63" s="17"/>
      <c r="P63" s="43"/>
      <c r="Q63" s="43"/>
      <c r="R63" s="17"/>
      <c r="S63" s="17"/>
      <c r="T63" s="17"/>
      <c r="U63" s="17"/>
      <c r="V63" s="17"/>
      <c r="W63" s="17"/>
      <c r="X63" s="17"/>
      <c r="Y63" s="17"/>
      <c r="Z63" s="17"/>
      <c r="AA63" s="17"/>
      <c r="AB63" s="17"/>
      <c r="AC63" s="17"/>
      <c r="AD63" s="54"/>
    </row>
    <row r="64" spans="2:30" ht="17.45" customHeight="1" x14ac:dyDescent="0.25">
      <c r="B64" s="622"/>
      <c r="C64" s="614" t="s">
        <v>701</v>
      </c>
      <c r="D64" s="516" t="s">
        <v>919</v>
      </c>
      <c r="E64" s="521"/>
      <c r="F64" s="610"/>
      <c r="G64" s="611"/>
      <c r="H64" s="519"/>
      <c r="I64" s="518"/>
      <c r="J64" s="514"/>
      <c r="K64" s="749"/>
      <c r="L64" s="518" t="s">
        <v>504</v>
      </c>
      <c r="M64" s="611"/>
      <c r="N64" s="17"/>
      <c r="O64" s="17"/>
      <c r="P64" s="43"/>
      <c r="Q64" s="43"/>
      <c r="R64" s="17"/>
      <c r="S64" s="17"/>
      <c r="T64" s="17"/>
      <c r="U64" s="17"/>
      <c r="V64" s="17"/>
      <c r="W64" s="17"/>
      <c r="X64" s="17"/>
      <c r="Y64" s="17"/>
      <c r="Z64" s="17"/>
      <c r="AA64" s="17"/>
      <c r="AB64" s="17"/>
      <c r="AC64" s="17"/>
      <c r="AD64" s="54"/>
    </row>
    <row r="65" spans="2:30" ht="17.45" customHeight="1" thickBot="1" x14ac:dyDescent="0.3">
      <c r="B65" s="622"/>
      <c r="C65" s="519"/>
      <c r="D65" s="522" t="s">
        <v>707</v>
      </c>
      <c r="E65" s="514"/>
      <c r="F65" s="611"/>
      <c r="G65" s="611"/>
      <c r="H65" s="617"/>
      <c r="I65" s="615"/>
      <c r="J65" s="618"/>
      <c r="K65" s="750"/>
      <c r="L65" s="615" t="s">
        <v>618</v>
      </c>
      <c r="M65" s="616"/>
      <c r="N65" s="17"/>
      <c r="O65" s="17"/>
      <c r="P65" s="43"/>
      <c r="Q65" s="43"/>
      <c r="R65" s="17"/>
      <c r="S65" s="17"/>
      <c r="T65" s="17"/>
      <c r="U65" s="17"/>
      <c r="V65" s="17"/>
      <c r="W65" s="17"/>
      <c r="X65" s="17"/>
      <c r="Y65" s="17"/>
      <c r="Z65" s="17"/>
      <c r="AA65" s="17"/>
      <c r="AB65" s="17"/>
      <c r="AC65" s="17"/>
      <c r="AD65" s="54"/>
    </row>
    <row r="66" spans="2:30" ht="17.45" customHeight="1" x14ac:dyDescent="0.25">
      <c r="B66" s="622"/>
      <c r="C66" s="519"/>
      <c r="D66" s="522" t="s">
        <v>504</v>
      </c>
      <c r="E66" s="514"/>
      <c r="F66" s="611"/>
      <c r="G66" s="514"/>
      <c r="H66" s="514"/>
      <c r="I66" s="43"/>
      <c r="J66" s="43"/>
      <c r="K66" s="43"/>
      <c r="L66" s="43"/>
      <c r="M66" s="43"/>
      <c r="N66" s="43"/>
      <c r="O66" s="43"/>
      <c r="P66" s="43"/>
      <c r="Q66" s="43"/>
      <c r="R66" s="17"/>
      <c r="S66" s="17"/>
      <c r="T66" s="17"/>
      <c r="U66" s="17"/>
      <c r="V66" s="17"/>
      <c r="W66" s="17"/>
      <c r="X66" s="17"/>
      <c r="Y66" s="17"/>
      <c r="Z66" s="17"/>
      <c r="AA66" s="17"/>
      <c r="AB66" s="17"/>
      <c r="AC66" s="17"/>
      <c r="AD66" s="54"/>
    </row>
    <row r="67" spans="2:30" ht="17.45" customHeight="1" thickBot="1" x14ac:dyDescent="0.3">
      <c r="B67" s="622"/>
      <c r="C67" s="623"/>
      <c r="D67" s="615" t="s">
        <v>690</v>
      </c>
      <c r="E67" s="618"/>
      <c r="F67" s="616"/>
      <c r="G67" s="514"/>
      <c r="H67" s="514"/>
      <c r="I67" s="514"/>
      <c r="J67" s="514"/>
      <c r="K67" s="514"/>
      <c r="L67" s="514"/>
      <c r="M67" s="514"/>
      <c r="N67" s="514"/>
      <c r="O67" s="514"/>
      <c r="P67" s="43"/>
      <c r="Q67" s="43"/>
      <c r="R67" s="17"/>
      <c r="S67" s="17"/>
      <c r="T67" s="17"/>
      <c r="U67" s="17"/>
      <c r="V67" s="17"/>
      <c r="W67" s="17"/>
      <c r="X67" s="17"/>
      <c r="Y67" s="17"/>
      <c r="Z67" s="17"/>
      <c r="AA67" s="17"/>
      <c r="AB67" s="17"/>
      <c r="AC67" s="17"/>
      <c r="AD67" s="54"/>
    </row>
    <row r="68" spans="2:30" ht="15" customHeight="1" x14ac:dyDescent="0.25">
      <c r="B68" s="53"/>
      <c r="C68" s="514"/>
      <c r="D68" s="514"/>
      <c r="E68" s="514"/>
      <c r="F68" s="514"/>
      <c r="G68" s="43"/>
      <c r="H68" s="43"/>
      <c r="I68" s="43"/>
      <c r="J68" s="43"/>
      <c r="K68" s="43"/>
      <c r="L68" s="43"/>
      <c r="M68" s="43"/>
      <c r="N68" s="43"/>
      <c r="O68" s="43"/>
      <c r="P68" s="43"/>
      <c r="Q68" s="43"/>
      <c r="R68" s="17"/>
      <c r="S68" s="17"/>
      <c r="T68" s="17"/>
      <c r="U68" s="17"/>
      <c r="V68" s="17"/>
      <c r="W68" s="17"/>
      <c r="X68" s="17"/>
      <c r="Y68" s="17"/>
      <c r="Z68" s="17"/>
      <c r="AA68" s="17"/>
      <c r="AB68" s="17"/>
      <c r="AC68" s="17"/>
      <c r="AD68" s="54"/>
    </row>
    <row r="69" spans="2:30" ht="15" customHeight="1" thickBot="1" x14ac:dyDescent="0.35">
      <c r="B69" s="53"/>
      <c r="C69" s="539" t="s">
        <v>693</v>
      </c>
      <c r="D69" s="540"/>
      <c r="E69" s="540"/>
      <c r="F69" s="540"/>
      <c r="G69" s="193"/>
      <c r="H69" s="17"/>
      <c r="I69" s="17"/>
      <c r="J69" s="17"/>
      <c r="K69" s="17"/>
      <c r="L69" s="17"/>
      <c r="M69" s="17"/>
      <c r="N69" s="17"/>
      <c r="O69" s="17"/>
      <c r="P69" s="17"/>
      <c r="Q69" s="17"/>
      <c r="R69" s="17"/>
      <c r="S69" s="17"/>
      <c r="T69" s="17"/>
      <c r="U69" s="17"/>
      <c r="V69" s="17"/>
      <c r="W69" s="17"/>
      <c r="X69" s="17"/>
      <c r="Y69" s="17"/>
      <c r="Z69" s="17"/>
      <c r="AA69" s="17"/>
      <c r="AB69" s="17"/>
      <c r="AC69" s="17"/>
      <c r="AD69" s="54"/>
    </row>
    <row r="70" spans="2:30" ht="15" customHeight="1" x14ac:dyDescent="0.3">
      <c r="B70" s="53"/>
      <c r="C70" s="395"/>
      <c r="D70" s="392"/>
      <c r="E70" s="392"/>
      <c r="F70" s="392"/>
      <c r="G70" s="17"/>
      <c r="H70" s="17"/>
      <c r="I70" s="17"/>
      <c r="J70" s="17"/>
      <c r="K70" s="17"/>
      <c r="L70" s="17"/>
      <c r="M70" s="17"/>
      <c r="N70" s="17"/>
      <c r="O70" s="17"/>
      <c r="P70" s="17"/>
      <c r="Q70" s="17"/>
      <c r="R70" s="17"/>
      <c r="S70" s="17"/>
      <c r="T70" s="17"/>
      <c r="U70" s="17"/>
      <c r="V70" s="17"/>
      <c r="W70" s="17"/>
      <c r="X70" s="17"/>
      <c r="Y70" s="17"/>
      <c r="Z70" s="17"/>
      <c r="AA70" s="17"/>
      <c r="AB70" s="17"/>
      <c r="AC70" s="17"/>
      <c r="AD70" s="54"/>
    </row>
    <row r="71" spans="2:30" ht="15" customHeight="1" x14ac:dyDescent="0.25">
      <c r="B71" s="53"/>
      <c r="C71" s="751" t="s">
        <v>1011</v>
      </c>
      <c r="D71" s="751"/>
      <c r="E71" s="751"/>
      <c r="F71" s="751"/>
      <c r="G71" s="751"/>
      <c r="H71" s="751"/>
      <c r="I71" s="751"/>
      <c r="J71" s="751"/>
      <c r="K71" s="751"/>
      <c r="L71" s="751"/>
      <c r="M71" s="751"/>
      <c r="N71" s="751"/>
      <c r="O71" s="751"/>
      <c r="P71" s="751"/>
      <c r="Q71" s="751"/>
      <c r="R71" s="751"/>
      <c r="S71" s="751"/>
      <c r="T71" s="751"/>
      <c r="U71" s="751"/>
      <c r="V71" s="751"/>
      <c r="W71" s="664"/>
      <c r="X71" s="664"/>
      <c r="Y71" s="664"/>
      <c r="Z71" s="664"/>
      <c r="AA71" s="17"/>
      <c r="AB71" s="17"/>
      <c r="AC71" s="17"/>
      <c r="AD71" s="54"/>
    </row>
    <row r="72" spans="2:30" ht="15" customHeight="1" x14ac:dyDescent="0.25">
      <c r="B72" s="53"/>
      <c r="C72" s="751"/>
      <c r="D72" s="751"/>
      <c r="E72" s="751"/>
      <c r="F72" s="751"/>
      <c r="G72" s="751"/>
      <c r="H72" s="751"/>
      <c r="I72" s="751"/>
      <c r="J72" s="751"/>
      <c r="K72" s="751"/>
      <c r="L72" s="751"/>
      <c r="M72" s="751"/>
      <c r="N72" s="751"/>
      <c r="O72" s="751"/>
      <c r="P72" s="751"/>
      <c r="Q72" s="751"/>
      <c r="R72" s="751"/>
      <c r="S72" s="751"/>
      <c r="T72" s="751"/>
      <c r="U72" s="751"/>
      <c r="V72" s="751"/>
      <c r="W72" s="664"/>
      <c r="X72" s="664"/>
      <c r="Y72" s="664"/>
      <c r="Z72" s="664"/>
      <c r="AA72" s="17"/>
      <c r="AB72" s="17"/>
      <c r="AC72" s="17"/>
      <c r="AD72" s="54"/>
    </row>
    <row r="73" spans="2:30" ht="15" customHeight="1" x14ac:dyDescent="0.25">
      <c r="B73" s="53"/>
      <c r="C73" s="751"/>
      <c r="D73" s="751"/>
      <c r="E73" s="751"/>
      <c r="F73" s="751"/>
      <c r="G73" s="751"/>
      <c r="H73" s="751"/>
      <c r="I73" s="751"/>
      <c r="J73" s="751"/>
      <c r="K73" s="751"/>
      <c r="L73" s="751"/>
      <c r="M73" s="751"/>
      <c r="N73" s="751"/>
      <c r="O73" s="751"/>
      <c r="P73" s="751"/>
      <c r="Q73" s="751"/>
      <c r="R73" s="751"/>
      <c r="S73" s="751"/>
      <c r="T73" s="751"/>
      <c r="U73" s="751"/>
      <c r="V73" s="751"/>
      <c r="W73" s="664"/>
      <c r="X73" s="664"/>
      <c r="Y73" s="664"/>
      <c r="Z73" s="664"/>
      <c r="AA73" s="17"/>
      <c r="AB73" s="17"/>
      <c r="AC73" s="17"/>
      <c r="AD73" s="54"/>
    </row>
    <row r="74" spans="2:30" ht="15" customHeight="1" x14ac:dyDescent="0.25">
      <c r="B74" s="53"/>
      <c r="C74" s="751"/>
      <c r="D74" s="751"/>
      <c r="E74" s="751"/>
      <c r="F74" s="751"/>
      <c r="G74" s="751"/>
      <c r="H74" s="751"/>
      <c r="I74" s="751"/>
      <c r="J74" s="751"/>
      <c r="K74" s="751"/>
      <c r="L74" s="751"/>
      <c r="M74" s="751"/>
      <c r="N74" s="751"/>
      <c r="O74" s="751"/>
      <c r="P74" s="751"/>
      <c r="Q74" s="751"/>
      <c r="R74" s="751"/>
      <c r="S74" s="751"/>
      <c r="T74" s="751"/>
      <c r="U74" s="751"/>
      <c r="V74" s="751"/>
      <c r="W74" s="664"/>
      <c r="X74" s="664"/>
      <c r="Y74" s="664"/>
      <c r="Z74" s="664"/>
      <c r="AA74" s="17"/>
      <c r="AB74" s="17"/>
      <c r="AC74" s="17"/>
      <c r="AD74" s="54"/>
    </row>
    <row r="75" spans="2:30" ht="15" customHeight="1" x14ac:dyDescent="0.25">
      <c r="B75" s="53"/>
      <c r="C75" s="751"/>
      <c r="D75" s="751"/>
      <c r="E75" s="751"/>
      <c r="F75" s="751"/>
      <c r="G75" s="751"/>
      <c r="H75" s="751"/>
      <c r="I75" s="751"/>
      <c r="J75" s="751"/>
      <c r="K75" s="751"/>
      <c r="L75" s="751"/>
      <c r="M75" s="751"/>
      <c r="N75" s="751"/>
      <c r="O75" s="751"/>
      <c r="P75" s="751"/>
      <c r="Q75" s="751"/>
      <c r="R75" s="751"/>
      <c r="S75" s="751"/>
      <c r="T75" s="751"/>
      <c r="U75" s="751"/>
      <c r="V75" s="751"/>
      <c r="W75" s="664"/>
      <c r="X75" s="664"/>
      <c r="Y75" s="664"/>
      <c r="Z75" s="664"/>
      <c r="AA75" s="17"/>
      <c r="AB75" s="17"/>
      <c r="AC75" s="17"/>
      <c r="AD75" s="54"/>
    </row>
    <row r="76" spans="2:30" ht="15" customHeight="1" x14ac:dyDescent="0.25">
      <c r="B76" s="53"/>
      <c r="C76" s="751"/>
      <c r="D76" s="751"/>
      <c r="E76" s="751"/>
      <c r="F76" s="751"/>
      <c r="G76" s="751"/>
      <c r="H76" s="751"/>
      <c r="I76" s="751"/>
      <c r="J76" s="751"/>
      <c r="K76" s="751"/>
      <c r="L76" s="751"/>
      <c r="M76" s="751"/>
      <c r="N76" s="751"/>
      <c r="O76" s="751"/>
      <c r="P76" s="751"/>
      <c r="Q76" s="751"/>
      <c r="R76" s="751"/>
      <c r="S76" s="751"/>
      <c r="T76" s="751"/>
      <c r="U76" s="751"/>
      <c r="V76" s="751"/>
      <c r="W76" s="664"/>
      <c r="X76" s="664"/>
      <c r="Y76" s="664"/>
      <c r="Z76" s="664"/>
      <c r="AA76" s="17"/>
      <c r="AB76" s="17"/>
      <c r="AC76" s="17"/>
      <c r="AD76" s="54"/>
    </row>
    <row r="77" spans="2:30" ht="15" customHeight="1" x14ac:dyDescent="0.25">
      <c r="B77" s="53"/>
      <c r="C77" s="751" t="s">
        <v>1010</v>
      </c>
      <c r="D77" s="751"/>
      <c r="E77" s="751"/>
      <c r="F77" s="751"/>
      <c r="G77" s="751"/>
      <c r="H77" s="751"/>
      <c r="I77" s="751"/>
      <c r="J77" s="751"/>
      <c r="K77" s="751"/>
      <c r="L77" s="751"/>
      <c r="M77" s="751"/>
      <c r="N77" s="751"/>
      <c r="O77" s="751"/>
      <c r="P77" s="751"/>
      <c r="Q77" s="751"/>
      <c r="R77" s="751"/>
      <c r="S77" s="751"/>
      <c r="T77" s="751"/>
      <c r="U77" s="751"/>
      <c r="V77" s="751"/>
      <c r="W77" s="664"/>
      <c r="X77" s="664"/>
      <c r="Y77" s="664"/>
      <c r="Z77" s="664"/>
      <c r="AA77" s="17"/>
      <c r="AB77" s="17"/>
      <c r="AC77" s="17"/>
      <c r="AD77" s="54"/>
    </row>
    <row r="78" spans="2:30" ht="15" customHeight="1" x14ac:dyDescent="0.25">
      <c r="B78" s="53"/>
      <c r="C78" s="751"/>
      <c r="D78" s="751"/>
      <c r="E78" s="751"/>
      <c r="F78" s="751"/>
      <c r="G78" s="751"/>
      <c r="H78" s="751"/>
      <c r="I78" s="751"/>
      <c r="J78" s="751"/>
      <c r="K78" s="751"/>
      <c r="L78" s="751"/>
      <c r="M78" s="751"/>
      <c r="N78" s="751"/>
      <c r="O78" s="751"/>
      <c r="P78" s="751"/>
      <c r="Q78" s="751"/>
      <c r="R78" s="751"/>
      <c r="S78" s="751"/>
      <c r="T78" s="751"/>
      <c r="U78" s="751"/>
      <c r="V78" s="751"/>
      <c r="W78" s="664"/>
      <c r="X78" s="664"/>
      <c r="Y78" s="664"/>
      <c r="Z78" s="664"/>
      <c r="AA78" s="17"/>
      <c r="AB78" s="17"/>
      <c r="AC78" s="17"/>
      <c r="AD78" s="54"/>
    </row>
    <row r="79" spans="2:30" ht="15" customHeight="1" x14ac:dyDescent="0.25">
      <c r="B79" s="53"/>
      <c r="C79" s="751"/>
      <c r="D79" s="751"/>
      <c r="E79" s="751"/>
      <c r="F79" s="751"/>
      <c r="G79" s="751"/>
      <c r="H79" s="751"/>
      <c r="I79" s="751"/>
      <c r="J79" s="751"/>
      <c r="K79" s="751"/>
      <c r="L79" s="751"/>
      <c r="M79" s="751"/>
      <c r="N79" s="751"/>
      <c r="O79" s="751"/>
      <c r="P79" s="751"/>
      <c r="Q79" s="751"/>
      <c r="R79" s="751"/>
      <c r="S79" s="751"/>
      <c r="T79" s="751"/>
      <c r="U79" s="751"/>
      <c r="V79" s="751"/>
      <c r="W79" s="664"/>
      <c r="X79" s="664"/>
      <c r="Y79" s="664"/>
      <c r="Z79" s="664"/>
      <c r="AA79" s="17"/>
      <c r="AB79" s="17"/>
      <c r="AC79" s="17"/>
      <c r="AD79" s="54"/>
    </row>
    <row r="80" spans="2:30" ht="15" customHeight="1" x14ac:dyDescent="0.25">
      <c r="B80" s="53"/>
      <c r="C80" s="751"/>
      <c r="D80" s="751"/>
      <c r="E80" s="751"/>
      <c r="F80" s="751"/>
      <c r="G80" s="751"/>
      <c r="H80" s="751"/>
      <c r="I80" s="751"/>
      <c r="J80" s="751"/>
      <c r="K80" s="751"/>
      <c r="L80" s="751"/>
      <c r="M80" s="751"/>
      <c r="N80" s="751"/>
      <c r="O80" s="751"/>
      <c r="P80" s="751"/>
      <c r="Q80" s="751"/>
      <c r="R80" s="751"/>
      <c r="S80" s="751"/>
      <c r="T80" s="751"/>
      <c r="U80" s="751"/>
      <c r="V80" s="751"/>
      <c r="W80" s="664"/>
      <c r="X80" s="664"/>
      <c r="Y80" s="664"/>
      <c r="Z80" s="664"/>
      <c r="AA80" s="17"/>
      <c r="AB80" s="17"/>
      <c r="AC80" s="17"/>
      <c r="AD80" s="54"/>
    </row>
    <row r="81" spans="2:30" ht="15" customHeight="1" x14ac:dyDescent="0.25">
      <c r="B81" s="53"/>
      <c r="C81" s="751"/>
      <c r="D81" s="751"/>
      <c r="E81" s="751"/>
      <c r="F81" s="751"/>
      <c r="G81" s="751"/>
      <c r="H81" s="751"/>
      <c r="I81" s="751"/>
      <c r="J81" s="751"/>
      <c r="K81" s="751"/>
      <c r="L81" s="751"/>
      <c r="M81" s="751"/>
      <c r="N81" s="751"/>
      <c r="O81" s="751"/>
      <c r="P81" s="751"/>
      <c r="Q81" s="751"/>
      <c r="R81" s="751"/>
      <c r="S81" s="751"/>
      <c r="T81" s="751"/>
      <c r="U81" s="751"/>
      <c r="V81" s="751"/>
      <c r="W81" s="664"/>
      <c r="X81" s="664"/>
      <c r="Y81" s="664"/>
      <c r="Z81" s="664"/>
      <c r="AA81" s="17"/>
      <c r="AB81" s="17"/>
      <c r="AC81" s="17"/>
      <c r="AD81" s="54"/>
    </row>
    <row r="82" spans="2:30" ht="15" customHeight="1" x14ac:dyDescent="0.25">
      <c r="B82" s="53"/>
      <c r="C82" s="751"/>
      <c r="D82" s="751"/>
      <c r="E82" s="751"/>
      <c r="F82" s="751"/>
      <c r="G82" s="751"/>
      <c r="H82" s="751"/>
      <c r="I82" s="751"/>
      <c r="J82" s="751"/>
      <c r="K82" s="751"/>
      <c r="L82" s="751"/>
      <c r="M82" s="751"/>
      <c r="N82" s="751"/>
      <c r="O82" s="751"/>
      <c r="P82" s="751"/>
      <c r="Q82" s="751"/>
      <c r="R82" s="751"/>
      <c r="S82" s="751"/>
      <c r="T82" s="751"/>
      <c r="U82" s="751"/>
      <c r="V82" s="751"/>
      <c r="W82" s="664"/>
      <c r="X82" s="664"/>
      <c r="Y82" s="664"/>
      <c r="Z82" s="664"/>
      <c r="AA82" s="17"/>
      <c r="AB82" s="17"/>
      <c r="AC82" s="17"/>
      <c r="AD82" s="54"/>
    </row>
    <row r="83" spans="2:30" ht="15" customHeight="1" x14ac:dyDescent="0.25">
      <c r="B83" s="53"/>
      <c r="C83" s="751"/>
      <c r="D83" s="751"/>
      <c r="E83" s="751"/>
      <c r="F83" s="751"/>
      <c r="G83" s="751"/>
      <c r="H83" s="751"/>
      <c r="I83" s="751"/>
      <c r="J83" s="751"/>
      <c r="K83" s="751"/>
      <c r="L83" s="751"/>
      <c r="M83" s="751"/>
      <c r="N83" s="751"/>
      <c r="O83" s="751"/>
      <c r="P83" s="751"/>
      <c r="Q83" s="751"/>
      <c r="R83" s="751"/>
      <c r="S83" s="751"/>
      <c r="T83" s="751"/>
      <c r="U83" s="751"/>
      <c r="V83" s="751"/>
      <c r="W83" s="664"/>
      <c r="X83" s="664"/>
      <c r="Y83" s="664"/>
      <c r="Z83" s="664"/>
      <c r="AA83" s="17"/>
      <c r="AB83" s="17"/>
      <c r="AC83" s="17"/>
      <c r="AD83" s="54"/>
    </row>
    <row r="84" spans="2:30" ht="15" customHeight="1" x14ac:dyDescent="0.25">
      <c r="B84" s="53"/>
      <c r="C84" s="751"/>
      <c r="D84" s="751"/>
      <c r="E84" s="751"/>
      <c r="F84" s="751"/>
      <c r="G84" s="751"/>
      <c r="H84" s="751"/>
      <c r="I84" s="751"/>
      <c r="J84" s="751"/>
      <c r="K84" s="751"/>
      <c r="L84" s="751"/>
      <c r="M84" s="751"/>
      <c r="N84" s="751"/>
      <c r="O84" s="751"/>
      <c r="P84" s="751"/>
      <c r="Q84" s="751"/>
      <c r="R84" s="751"/>
      <c r="S84" s="751"/>
      <c r="T84" s="751"/>
      <c r="U84" s="751"/>
      <c r="V84" s="751"/>
      <c r="W84" s="664"/>
      <c r="X84" s="664"/>
      <c r="Y84" s="664"/>
      <c r="Z84" s="664"/>
      <c r="AA84" s="17"/>
      <c r="AB84" s="17"/>
      <c r="AC84" s="17"/>
      <c r="AD84" s="54"/>
    </row>
    <row r="85" spans="2:30" ht="15" customHeight="1" x14ac:dyDescent="0.25">
      <c r="B85" s="53"/>
      <c r="C85" s="751"/>
      <c r="D85" s="751"/>
      <c r="E85" s="751"/>
      <c r="F85" s="751"/>
      <c r="G85" s="751"/>
      <c r="H85" s="751"/>
      <c r="I85" s="751"/>
      <c r="J85" s="751"/>
      <c r="K85" s="751"/>
      <c r="L85" s="751"/>
      <c r="M85" s="751"/>
      <c r="N85" s="751"/>
      <c r="O85" s="751"/>
      <c r="P85" s="751"/>
      <c r="Q85" s="751"/>
      <c r="R85" s="751"/>
      <c r="S85" s="751"/>
      <c r="T85" s="751"/>
      <c r="U85" s="751"/>
      <c r="V85" s="751"/>
      <c r="W85" s="664"/>
      <c r="X85" s="664"/>
      <c r="Y85" s="664"/>
      <c r="Z85" s="664"/>
      <c r="AA85" s="17"/>
      <c r="AB85" s="17"/>
      <c r="AC85" s="17"/>
      <c r="AD85" s="54"/>
    </row>
    <row r="86" spans="2:30" ht="15" customHeight="1" x14ac:dyDescent="0.25">
      <c r="B86" s="53"/>
      <c r="C86" s="523" t="s">
        <v>709</v>
      </c>
      <c r="D86" s="523"/>
      <c r="E86" s="524"/>
      <c r="F86" s="524"/>
      <c r="G86" s="524"/>
      <c r="H86" s="523" t="s">
        <v>1014</v>
      </c>
      <c r="I86" s="523"/>
      <c r="J86" s="523"/>
      <c r="K86" s="524"/>
      <c r="L86" s="524"/>
      <c r="M86" s="524"/>
      <c r="N86" s="17"/>
      <c r="O86" s="523" t="s">
        <v>708</v>
      </c>
      <c r="P86" s="523"/>
      <c r="Q86" s="17"/>
      <c r="R86" s="17"/>
      <c r="S86" s="17"/>
      <c r="T86" s="17"/>
      <c r="U86" s="17"/>
      <c r="V86" s="17"/>
      <c r="W86" s="523" t="s">
        <v>1013</v>
      </c>
      <c r="X86" s="523"/>
      <c r="Y86" s="17"/>
      <c r="Z86" s="17"/>
      <c r="AA86" s="17"/>
      <c r="AB86" s="17"/>
      <c r="AC86" s="17"/>
      <c r="AD86" s="54"/>
    </row>
    <row r="87" spans="2:30" ht="15" customHeight="1" x14ac:dyDescent="0.25">
      <c r="B87" s="53"/>
      <c r="C87" s="123" t="s">
        <v>711</v>
      </c>
      <c r="D87" s="17"/>
      <c r="E87" s="17"/>
      <c r="F87" s="17"/>
      <c r="G87" s="17"/>
      <c r="H87" s="123" t="s">
        <v>711</v>
      </c>
      <c r="I87" s="17"/>
      <c r="J87" s="17"/>
      <c r="K87" s="17"/>
      <c r="L87" s="17"/>
      <c r="M87" s="17"/>
      <c r="N87" s="17"/>
      <c r="O87" s="17" t="s">
        <v>722</v>
      </c>
      <c r="P87" s="17"/>
      <c r="Q87" s="17"/>
      <c r="R87" s="17"/>
      <c r="S87" s="17"/>
      <c r="T87" s="17"/>
      <c r="U87" s="17"/>
      <c r="V87" s="17"/>
      <c r="W87" s="17" t="s">
        <v>710</v>
      </c>
      <c r="X87" s="17"/>
      <c r="Y87" s="17"/>
      <c r="Z87" s="17"/>
      <c r="AA87" s="17"/>
      <c r="AB87" s="17"/>
      <c r="AC87" s="17"/>
      <c r="AD87" s="54"/>
    </row>
    <row r="88" spans="2:30" ht="15" customHeight="1" x14ac:dyDescent="0.25">
      <c r="B88" s="53"/>
      <c r="C88" s="123" t="s">
        <v>712</v>
      </c>
      <c r="D88" s="17"/>
      <c r="E88" s="17"/>
      <c r="F88" s="17"/>
      <c r="G88" s="17"/>
      <c r="H88" s="123" t="s">
        <v>712</v>
      </c>
      <c r="I88" s="17"/>
      <c r="J88" s="17"/>
      <c r="K88" s="17"/>
      <c r="L88" s="17"/>
      <c r="M88" s="17"/>
      <c r="N88" s="17"/>
      <c r="O88" s="17" t="s">
        <v>1015</v>
      </c>
      <c r="P88" s="17"/>
      <c r="Q88" s="17"/>
      <c r="R88" s="17"/>
      <c r="S88" s="17"/>
      <c r="T88" s="17"/>
      <c r="U88" s="17"/>
      <c r="V88" s="17"/>
      <c r="W88" s="17" t="s">
        <v>720</v>
      </c>
      <c r="X88" s="17"/>
      <c r="Y88" s="17"/>
      <c r="Z88" s="17"/>
      <c r="AA88" s="17"/>
      <c r="AB88" s="17"/>
      <c r="AC88" s="17"/>
      <c r="AD88" s="54"/>
    </row>
    <row r="89" spans="2:30" ht="15" customHeight="1" x14ac:dyDescent="0.25">
      <c r="B89" s="53"/>
      <c r="C89" s="123"/>
      <c r="D89" s="17"/>
      <c r="E89" s="17"/>
      <c r="F89" s="17"/>
      <c r="G89" s="17"/>
      <c r="H89" s="17" t="s">
        <v>739</v>
      </c>
      <c r="I89" s="17"/>
      <c r="J89" s="17"/>
      <c r="K89" s="17"/>
      <c r="L89" s="17"/>
      <c r="M89" s="17"/>
      <c r="N89" s="17"/>
      <c r="O89" s="17" t="s">
        <v>739</v>
      </c>
      <c r="P89" s="17"/>
      <c r="Q89" s="17"/>
      <c r="R89" s="17"/>
      <c r="S89" s="17"/>
      <c r="T89" s="17"/>
      <c r="U89" s="17"/>
      <c r="V89" s="17"/>
      <c r="W89" s="17" t="s">
        <v>723</v>
      </c>
      <c r="X89" s="17"/>
      <c r="Y89" s="17"/>
      <c r="Z89" s="17"/>
      <c r="AA89" s="17"/>
      <c r="AB89" s="17"/>
      <c r="AC89" s="17"/>
      <c r="AD89" s="54"/>
    </row>
    <row r="90" spans="2:30" ht="8.25" customHeight="1" x14ac:dyDescent="0.25">
      <c r="B90" s="53"/>
      <c r="C90" s="123"/>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54"/>
    </row>
    <row r="91" spans="2:30" ht="15" customHeight="1" x14ac:dyDescent="0.25">
      <c r="B91" s="53"/>
      <c r="C91" s="123"/>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54"/>
    </row>
    <row r="92" spans="2:30" ht="15" customHeight="1" x14ac:dyDescent="0.25">
      <c r="B92" s="53"/>
      <c r="C92" s="123"/>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54"/>
    </row>
    <row r="93" spans="2:30" ht="15" customHeight="1" x14ac:dyDescent="0.25">
      <c r="B93" s="53"/>
      <c r="C93" s="123"/>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54"/>
    </row>
    <row r="94" spans="2:30" ht="15" customHeight="1" x14ac:dyDescent="0.25">
      <c r="B94" s="53"/>
      <c r="C94" s="123"/>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54"/>
    </row>
    <row r="95" spans="2:30" ht="15" customHeight="1" x14ac:dyDescent="0.25">
      <c r="B95" s="53"/>
      <c r="C95" s="123"/>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54"/>
    </row>
    <row r="96" spans="2:30" ht="15" customHeight="1" x14ac:dyDescent="0.25">
      <c r="B96" s="53"/>
      <c r="C96" s="123"/>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54"/>
    </row>
    <row r="97" spans="2:30" ht="15" customHeight="1" x14ac:dyDescent="0.25">
      <c r="B97" s="53"/>
      <c r="C97" s="123"/>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54"/>
    </row>
    <row r="98" spans="2:30" ht="15" customHeight="1" x14ac:dyDescent="0.25">
      <c r="B98" s="53"/>
      <c r="C98" s="123"/>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54"/>
    </row>
    <row r="99" spans="2:30" ht="15" customHeight="1" x14ac:dyDescent="0.25">
      <c r="B99" s="53"/>
      <c r="C99" s="536"/>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54"/>
    </row>
    <row r="100" spans="2:30" ht="15" customHeight="1" x14ac:dyDescent="0.25">
      <c r="B100" s="53"/>
      <c r="C100" s="123"/>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54"/>
    </row>
    <row r="101" spans="2:30" ht="15" customHeight="1" x14ac:dyDescent="0.25">
      <c r="B101" s="53"/>
      <c r="C101" s="123"/>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54"/>
    </row>
    <row r="102" spans="2:30" ht="15" customHeight="1" x14ac:dyDescent="0.25">
      <c r="B102" s="53"/>
      <c r="C102" s="123"/>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54"/>
    </row>
    <row r="103" spans="2:30" ht="15" customHeight="1" x14ac:dyDescent="0.25">
      <c r="B103" s="53"/>
      <c r="C103" s="123"/>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54"/>
    </row>
    <row r="104" spans="2:30" ht="15" customHeight="1" x14ac:dyDescent="0.25">
      <c r="B104" s="53"/>
      <c r="C104" s="123"/>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54"/>
    </row>
    <row r="105" spans="2:30" ht="15" customHeight="1" x14ac:dyDescent="0.25">
      <c r="B105" s="53"/>
      <c r="C105" s="123"/>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54"/>
    </row>
    <row r="106" spans="2:30" ht="15" customHeight="1" x14ac:dyDescent="0.25">
      <c r="B106" s="53"/>
      <c r="C106" s="123"/>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54"/>
    </row>
    <row r="107" spans="2:30" ht="15" customHeight="1" x14ac:dyDescent="0.25">
      <c r="B107" s="53"/>
      <c r="C107" s="410" t="s">
        <v>563</v>
      </c>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54"/>
    </row>
    <row r="108" spans="2:30" ht="15" customHeight="1" x14ac:dyDescent="0.25">
      <c r="B108" s="53"/>
      <c r="C108" s="410"/>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54"/>
    </row>
    <row r="109" spans="2:30" ht="20.25" customHeight="1" thickBot="1" x14ac:dyDescent="0.35">
      <c r="B109" s="53"/>
      <c r="C109" s="539" t="s">
        <v>698</v>
      </c>
      <c r="D109" s="540"/>
      <c r="E109" s="540"/>
      <c r="F109" s="540"/>
      <c r="G109" s="193"/>
      <c r="H109" s="17"/>
      <c r="I109" s="17"/>
      <c r="J109" s="17"/>
      <c r="K109" s="17"/>
      <c r="L109" s="17"/>
      <c r="M109" s="17"/>
      <c r="N109" s="17"/>
      <c r="O109" s="17"/>
      <c r="P109" s="17"/>
      <c r="Q109" s="17"/>
      <c r="R109" s="17"/>
      <c r="S109" s="17"/>
      <c r="T109" s="17"/>
      <c r="U109" s="17"/>
      <c r="V109" s="17"/>
      <c r="W109" s="17"/>
      <c r="X109" s="17"/>
      <c r="Y109" s="17"/>
      <c r="Z109" s="17"/>
      <c r="AA109" s="17"/>
      <c r="AB109" s="17"/>
      <c r="AC109" s="17"/>
      <c r="AD109" s="54"/>
    </row>
    <row r="110" spans="2:30" ht="18.75" customHeight="1" x14ac:dyDescent="0.25">
      <c r="B110" s="53"/>
      <c r="C110" s="123" t="s">
        <v>89</v>
      </c>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54"/>
    </row>
    <row r="111" spans="2:30" ht="10.5" customHeight="1" x14ac:dyDescent="0.25">
      <c r="B111" s="53"/>
      <c r="C111" s="123"/>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54"/>
    </row>
    <row r="112" spans="2:30" ht="20.25" customHeight="1" x14ac:dyDescent="0.25">
      <c r="B112" s="53"/>
      <c r="C112" s="393"/>
      <c r="D112" s="419"/>
      <c r="E112" s="745" t="s">
        <v>130</v>
      </c>
      <c r="F112" s="745"/>
      <c r="G112" s="420"/>
      <c r="H112" s="404"/>
      <c r="I112" s="404"/>
      <c r="K112" s="419"/>
      <c r="L112" s="418" t="s">
        <v>131</v>
      </c>
      <c r="M112" s="420"/>
      <c r="N112" s="404"/>
      <c r="O112" s="404"/>
      <c r="P112" s="404"/>
      <c r="Q112" s="411"/>
      <c r="R112" s="743" t="s">
        <v>549</v>
      </c>
      <c r="S112" s="744"/>
      <c r="T112" s="400"/>
      <c r="U112" s="404"/>
      <c r="V112" s="404"/>
      <c r="W112" s="411"/>
      <c r="X112" s="393"/>
      <c r="Y112" s="417" t="s">
        <v>101</v>
      </c>
      <c r="Z112" s="16"/>
      <c r="AA112" s="16"/>
      <c r="AB112" s="16"/>
      <c r="AC112" s="16"/>
      <c r="AD112" s="54"/>
    </row>
    <row r="113" spans="2:30" ht="15" customHeight="1" x14ac:dyDescent="0.25">
      <c r="B113" s="53"/>
      <c r="C113" s="393"/>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54"/>
    </row>
    <row r="114" spans="2:30" ht="15" customHeight="1" x14ac:dyDescent="0.25">
      <c r="B114" s="53"/>
      <c r="C114" s="393"/>
      <c r="D114" s="16"/>
      <c r="E114" s="16"/>
      <c r="F114" s="16"/>
      <c r="G114" s="16"/>
      <c r="H114" s="16"/>
      <c r="I114" s="16"/>
      <c r="K114" s="16"/>
      <c r="L114" s="16"/>
      <c r="M114" s="16"/>
      <c r="N114" s="16"/>
      <c r="O114" s="16"/>
      <c r="P114" s="16"/>
      <c r="Q114" s="16"/>
      <c r="R114" s="16"/>
      <c r="S114" s="16"/>
      <c r="T114" s="16"/>
      <c r="U114" s="16"/>
      <c r="V114" s="16"/>
      <c r="W114" s="16"/>
      <c r="X114" s="16"/>
      <c r="Y114" s="16"/>
      <c r="Z114" s="16"/>
      <c r="AA114" s="16"/>
      <c r="AB114" s="16"/>
      <c r="AC114" s="16"/>
      <c r="AD114" s="54"/>
    </row>
    <row r="115" spans="2:30" ht="15" customHeight="1" x14ac:dyDescent="0.25">
      <c r="B115" s="53"/>
      <c r="C115" s="393"/>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54"/>
    </row>
    <row r="116" spans="2:30" ht="15" customHeight="1" x14ac:dyDescent="0.3">
      <c r="B116" s="53"/>
      <c r="C116" s="40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54"/>
    </row>
    <row r="117" spans="2:30" ht="15" customHeight="1" x14ac:dyDescent="0.25">
      <c r="B117" s="53"/>
      <c r="C117" s="394"/>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54"/>
    </row>
    <row r="118" spans="2:30" ht="15" customHeight="1" x14ac:dyDescent="0.25">
      <c r="B118" s="53"/>
      <c r="C118" s="393"/>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54"/>
    </row>
    <row r="119" spans="2:30" ht="15" customHeight="1" x14ac:dyDescent="0.25">
      <c r="B119" s="53"/>
      <c r="C119" s="393"/>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54"/>
    </row>
    <row r="120" spans="2:30" ht="15" customHeight="1" x14ac:dyDescent="0.25">
      <c r="B120" s="53"/>
      <c r="C120" s="393"/>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54"/>
    </row>
    <row r="121" spans="2:30" ht="15" customHeight="1" x14ac:dyDescent="0.25">
      <c r="B121" s="53"/>
      <c r="C121" s="393"/>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54"/>
    </row>
    <row r="122" spans="2:30" ht="15" customHeight="1" x14ac:dyDescent="0.25">
      <c r="B122" s="53"/>
      <c r="C122" s="393"/>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54"/>
    </row>
    <row r="123" spans="2:30" ht="15" customHeight="1" x14ac:dyDescent="0.25">
      <c r="B123" s="53"/>
      <c r="C123" s="393"/>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54"/>
    </row>
    <row r="124" spans="2:30" ht="15" customHeight="1" x14ac:dyDescent="0.25">
      <c r="B124" s="53"/>
      <c r="C124" s="393"/>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54"/>
    </row>
    <row r="125" spans="2:30" ht="15" customHeight="1" x14ac:dyDescent="0.25">
      <c r="B125" s="53"/>
      <c r="C125" s="393"/>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54"/>
    </row>
    <row r="126" spans="2:30" ht="15" customHeight="1" x14ac:dyDescent="0.25">
      <c r="B126" s="53"/>
      <c r="C126" s="393"/>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54"/>
    </row>
    <row r="127" spans="2:30" ht="15" customHeight="1" x14ac:dyDescent="0.25">
      <c r="B127" s="53"/>
      <c r="C127" s="393"/>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54"/>
    </row>
    <row r="128" spans="2:30" ht="15" customHeight="1" x14ac:dyDescent="0.25">
      <c r="B128" s="53"/>
      <c r="C128" s="393"/>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54"/>
    </row>
    <row r="129" spans="2:30" ht="15" customHeight="1" x14ac:dyDescent="0.25">
      <c r="B129" s="53"/>
      <c r="C129" s="422" t="s">
        <v>513</v>
      </c>
      <c r="D129" s="401" t="s">
        <v>557</v>
      </c>
      <c r="E129" s="401"/>
      <c r="F129" s="401"/>
      <c r="G129" s="423"/>
      <c r="H129" s="423"/>
      <c r="I129" s="422" t="s">
        <v>513</v>
      </c>
      <c r="J129" s="401" t="s">
        <v>551</v>
      </c>
      <c r="K129" s="401"/>
      <c r="L129" s="401"/>
      <c r="M129" s="401"/>
      <c r="N129" s="423"/>
      <c r="O129" s="423"/>
      <c r="P129" s="422" t="s">
        <v>513</v>
      </c>
      <c r="Q129" s="401" t="s">
        <v>552</v>
      </c>
      <c r="R129" s="401"/>
      <c r="S129" s="401"/>
      <c r="T129" s="401"/>
      <c r="U129" s="423"/>
      <c r="V129" s="422" t="s">
        <v>513</v>
      </c>
      <c r="W129" s="401" t="s">
        <v>553</v>
      </c>
      <c r="X129" s="401"/>
      <c r="Y129" s="401"/>
      <c r="Z129" s="421"/>
      <c r="AA129" s="398"/>
      <c r="AB129" s="398"/>
      <c r="AC129" s="16"/>
      <c r="AD129" s="54"/>
    </row>
    <row r="130" spans="2:30" ht="15" customHeight="1" x14ac:dyDescent="0.25">
      <c r="B130" s="53"/>
      <c r="C130" s="422" t="s">
        <v>513</v>
      </c>
      <c r="D130" s="401" t="s">
        <v>567</v>
      </c>
      <c r="E130" s="401"/>
      <c r="F130" s="401"/>
      <c r="G130" s="423"/>
      <c r="H130" s="423"/>
      <c r="I130" s="422" t="s">
        <v>513</v>
      </c>
      <c r="J130" s="401" t="s">
        <v>568</v>
      </c>
      <c r="K130" s="401"/>
      <c r="L130" s="401"/>
      <c r="M130" s="401"/>
      <c r="N130" s="423"/>
      <c r="O130" s="423"/>
      <c r="P130" s="422" t="s">
        <v>513</v>
      </c>
      <c r="Q130" s="401" t="s">
        <v>740</v>
      </c>
      <c r="R130" s="401"/>
      <c r="S130" s="401"/>
      <c r="T130" s="401"/>
      <c r="U130" s="423"/>
      <c r="V130" s="422" t="s">
        <v>513</v>
      </c>
      <c r="W130" s="401" t="s">
        <v>568</v>
      </c>
      <c r="X130" s="401"/>
      <c r="Y130" s="401"/>
      <c r="Z130" s="421"/>
      <c r="AA130" s="398"/>
      <c r="AB130" s="398"/>
      <c r="AC130" s="16"/>
      <c r="AD130" s="54"/>
    </row>
    <row r="131" spans="2:30" ht="15" customHeight="1" x14ac:dyDescent="0.25">
      <c r="B131" s="53"/>
      <c r="C131" s="422" t="s">
        <v>513</v>
      </c>
      <c r="D131" s="401" t="s">
        <v>558</v>
      </c>
      <c r="E131" s="401"/>
      <c r="F131" s="401"/>
      <c r="G131" s="423"/>
      <c r="H131" s="423"/>
      <c r="I131" s="422" t="s">
        <v>513</v>
      </c>
      <c r="J131" s="401" t="s">
        <v>554</v>
      </c>
      <c r="K131" s="401"/>
      <c r="L131" s="401"/>
      <c r="M131" s="401"/>
      <c r="O131" s="423"/>
      <c r="P131" s="422" t="s">
        <v>513</v>
      </c>
      <c r="Q131" s="401" t="s">
        <v>555</v>
      </c>
      <c r="R131" s="401"/>
      <c r="S131" s="401"/>
      <c r="T131" s="401"/>
      <c r="U131" s="423"/>
      <c r="V131" s="422" t="s">
        <v>513</v>
      </c>
      <c r="W131" s="401" t="s">
        <v>555</v>
      </c>
      <c r="X131" s="401"/>
      <c r="Y131" s="401"/>
      <c r="Z131" s="421"/>
      <c r="AA131" s="398"/>
      <c r="AB131" s="398"/>
      <c r="AC131" s="16"/>
      <c r="AD131" s="54"/>
    </row>
    <row r="132" spans="2:30" ht="15" customHeight="1" x14ac:dyDescent="0.25">
      <c r="B132" s="53"/>
      <c r="C132" s="398"/>
      <c r="D132" s="399"/>
      <c r="E132" s="399"/>
      <c r="F132" s="399"/>
      <c r="G132" s="398"/>
      <c r="H132" s="398"/>
      <c r="I132" s="398"/>
      <c r="J132" s="402"/>
      <c r="K132" s="399"/>
      <c r="L132" s="399"/>
      <c r="M132" s="399"/>
      <c r="N132" s="398"/>
      <c r="O132" s="398"/>
      <c r="P132" s="398"/>
      <c r="Q132" s="399"/>
      <c r="R132" s="399"/>
      <c r="S132" s="399"/>
      <c r="T132" s="399"/>
      <c r="U132" s="398"/>
      <c r="V132" s="398"/>
      <c r="W132" s="399"/>
      <c r="X132" s="399"/>
      <c r="Y132" s="399"/>
      <c r="Z132" s="399"/>
      <c r="AA132" s="398"/>
      <c r="AB132" s="398"/>
      <c r="AC132" s="16"/>
      <c r="AD132" s="54"/>
    </row>
    <row r="133" spans="2:30" ht="15" customHeight="1" x14ac:dyDescent="0.3">
      <c r="B133" s="53"/>
      <c r="C133" s="398"/>
      <c r="D133" s="398"/>
      <c r="E133" s="398"/>
      <c r="F133" s="398"/>
      <c r="G133" s="398"/>
      <c r="H133" s="398"/>
      <c r="I133" s="398"/>
      <c r="J133" s="403"/>
      <c r="K133" s="398"/>
      <c r="L133" s="398"/>
      <c r="M133" s="398"/>
      <c r="N133" s="398"/>
      <c r="O133" s="398"/>
      <c r="P133" s="398"/>
      <c r="Q133" s="398"/>
      <c r="R133" s="398"/>
      <c r="S133" s="398"/>
      <c r="T133" s="398"/>
      <c r="U133" s="398"/>
      <c r="V133" s="398"/>
      <c r="W133" s="398"/>
      <c r="X133" s="398"/>
      <c r="Y133" s="398"/>
      <c r="Z133" s="398"/>
      <c r="AA133" s="398"/>
      <c r="AB133" s="398"/>
      <c r="AC133" s="16"/>
      <c r="AD133" s="54"/>
    </row>
    <row r="134" spans="2:30" ht="15" customHeight="1" x14ac:dyDescent="0.3">
      <c r="B134" s="53"/>
      <c r="C134" s="398"/>
      <c r="D134" s="398"/>
      <c r="E134" s="398"/>
      <c r="F134" s="398"/>
      <c r="G134" s="398"/>
      <c r="H134" s="398"/>
      <c r="I134" s="398"/>
      <c r="J134" s="403"/>
      <c r="K134" s="398"/>
      <c r="L134" s="398"/>
      <c r="M134" s="398"/>
      <c r="N134" s="398"/>
      <c r="O134" s="398"/>
      <c r="P134" s="398"/>
      <c r="Q134" s="398"/>
      <c r="R134" s="398"/>
      <c r="S134" s="398"/>
      <c r="T134" s="398"/>
      <c r="U134" s="398"/>
      <c r="V134" s="398"/>
      <c r="W134" s="398"/>
      <c r="X134" s="398"/>
      <c r="Y134" s="398"/>
      <c r="Z134" s="398"/>
      <c r="AA134" s="398"/>
      <c r="AB134" s="398"/>
      <c r="AC134" s="16"/>
      <c r="AD134" s="54"/>
    </row>
    <row r="135" spans="2:30" ht="15" customHeight="1" x14ac:dyDescent="0.3">
      <c r="B135" s="53"/>
      <c r="C135" s="398"/>
      <c r="D135" s="398"/>
      <c r="E135" s="398"/>
      <c r="F135" s="398"/>
      <c r="G135" s="398"/>
      <c r="H135" s="398"/>
      <c r="I135" s="398"/>
      <c r="J135" s="403"/>
      <c r="K135" s="398"/>
      <c r="L135" s="398"/>
      <c r="M135" s="398"/>
      <c r="N135" s="398"/>
      <c r="O135" s="398"/>
      <c r="P135" s="398"/>
      <c r="Q135" s="398"/>
      <c r="R135" s="398"/>
      <c r="S135" s="398"/>
      <c r="T135" s="398"/>
      <c r="U135" s="398"/>
      <c r="V135" s="398"/>
      <c r="W135" s="398"/>
      <c r="X135" s="398"/>
      <c r="Y135" s="398"/>
      <c r="Z135" s="398"/>
      <c r="AA135" s="398"/>
      <c r="AB135" s="398"/>
      <c r="AC135" s="16"/>
      <c r="AD135" s="54"/>
    </row>
    <row r="136" spans="2:30" ht="15" customHeight="1" x14ac:dyDescent="0.3">
      <c r="B136" s="53"/>
      <c r="C136" s="398"/>
      <c r="D136" s="398"/>
      <c r="E136" s="398"/>
      <c r="F136" s="398"/>
      <c r="G136" s="398"/>
      <c r="H136" s="398"/>
      <c r="I136" s="398"/>
      <c r="J136" s="403"/>
      <c r="K136" s="398"/>
      <c r="L136" s="398"/>
      <c r="M136" s="398"/>
      <c r="N136" s="398"/>
      <c r="O136" s="398"/>
      <c r="P136" s="398"/>
      <c r="Q136" s="398"/>
      <c r="R136" s="398"/>
      <c r="S136" s="398"/>
      <c r="T136" s="398"/>
      <c r="U136" s="398"/>
      <c r="V136" s="398"/>
      <c r="W136" s="398"/>
      <c r="X136" s="398"/>
      <c r="Y136" s="398"/>
      <c r="Z136" s="398"/>
      <c r="AA136" s="398"/>
      <c r="AB136" s="398"/>
      <c r="AC136" s="16"/>
      <c r="AD136" s="54"/>
    </row>
    <row r="137" spans="2:30" ht="15" customHeight="1" x14ac:dyDescent="0.3">
      <c r="B137" s="53"/>
      <c r="C137" s="398"/>
      <c r="D137" s="398"/>
      <c r="E137" s="398"/>
      <c r="F137" s="398"/>
      <c r="G137" s="398"/>
      <c r="H137" s="398"/>
      <c r="I137" s="398"/>
      <c r="J137" s="403"/>
      <c r="K137" s="398"/>
      <c r="L137" s="398"/>
      <c r="M137" s="398"/>
      <c r="N137" s="398"/>
      <c r="O137" s="398"/>
      <c r="P137" s="398"/>
      <c r="Q137" s="398"/>
      <c r="R137" s="398"/>
      <c r="S137" s="398"/>
      <c r="T137" s="398"/>
      <c r="U137" s="398"/>
      <c r="V137" s="398"/>
      <c r="W137" s="398"/>
      <c r="X137" s="398"/>
      <c r="Y137" s="398"/>
      <c r="Z137" s="398"/>
      <c r="AA137" s="398"/>
      <c r="AB137" s="398"/>
      <c r="AC137" s="16"/>
      <c r="AD137" s="54"/>
    </row>
    <row r="138" spans="2:30" ht="15" customHeight="1" x14ac:dyDescent="0.3">
      <c r="B138" s="53"/>
      <c r="C138" s="398"/>
      <c r="D138" s="398"/>
      <c r="E138" s="398"/>
      <c r="F138" s="398"/>
      <c r="G138" s="398"/>
      <c r="H138" s="398"/>
      <c r="I138" s="398"/>
      <c r="J138" s="403"/>
      <c r="K138" s="398"/>
      <c r="L138" s="398"/>
      <c r="M138" s="398"/>
      <c r="N138" s="398"/>
      <c r="O138" s="398"/>
      <c r="P138" s="398"/>
      <c r="Q138" s="398"/>
      <c r="R138" s="398"/>
      <c r="S138" s="398"/>
      <c r="T138" s="398"/>
      <c r="U138" s="398"/>
      <c r="V138" s="398"/>
      <c r="W138" s="398"/>
      <c r="X138" s="398"/>
      <c r="Y138" s="398"/>
      <c r="Z138" s="398"/>
      <c r="AA138" s="398"/>
      <c r="AB138" s="398"/>
      <c r="AC138" s="16"/>
      <c r="AD138" s="54"/>
    </row>
    <row r="139" spans="2:30" ht="15" customHeight="1" x14ac:dyDescent="0.3">
      <c r="B139" s="53"/>
      <c r="C139" s="398"/>
      <c r="D139" s="398"/>
      <c r="E139" s="398"/>
      <c r="F139" s="398"/>
      <c r="G139" s="398"/>
      <c r="H139" s="398"/>
      <c r="I139" s="398"/>
      <c r="J139" s="403"/>
      <c r="K139" s="398"/>
      <c r="L139" s="398"/>
      <c r="M139" s="398"/>
      <c r="N139" s="398"/>
      <c r="O139" s="398"/>
      <c r="P139" s="398"/>
      <c r="Q139" s="398"/>
      <c r="R139" s="398"/>
      <c r="S139" s="398"/>
      <c r="T139" s="398"/>
      <c r="U139" s="398"/>
      <c r="V139" s="398"/>
      <c r="W139" s="398"/>
      <c r="X139" s="398"/>
      <c r="Y139" s="398"/>
      <c r="Z139" s="398"/>
      <c r="AA139" s="398"/>
      <c r="AB139" s="398"/>
      <c r="AC139" s="16"/>
      <c r="AD139" s="54"/>
    </row>
    <row r="140" spans="2:30" ht="15" customHeight="1" x14ac:dyDescent="0.3">
      <c r="B140" s="53"/>
      <c r="C140" s="398"/>
      <c r="D140" s="398"/>
      <c r="E140" s="398"/>
      <c r="F140" s="398"/>
      <c r="G140" s="398"/>
      <c r="H140" s="398"/>
      <c r="I140" s="398"/>
      <c r="J140" s="403"/>
      <c r="K140" s="398"/>
      <c r="L140" s="398"/>
      <c r="M140" s="398"/>
      <c r="N140" s="398"/>
      <c r="O140" s="398"/>
      <c r="P140" s="398"/>
      <c r="Q140" s="398"/>
      <c r="R140" s="398"/>
      <c r="S140" s="398"/>
      <c r="T140" s="398"/>
      <c r="U140" s="398"/>
      <c r="V140" s="398"/>
      <c r="W140" s="398"/>
      <c r="X140" s="398"/>
      <c r="Y140" s="398"/>
      <c r="Z140" s="398"/>
      <c r="AA140" s="398"/>
      <c r="AB140" s="398"/>
      <c r="AC140" s="16"/>
      <c r="AD140" s="54"/>
    </row>
    <row r="141" spans="2:30" ht="15" customHeight="1" x14ac:dyDescent="0.3">
      <c r="B141" s="53"/>
      <c r="C141" s="398"/>
      <c r="D141" s="398"/>
      <c r="E141" s="398"/>
      <c r="F141" s="398"/>
      <c r="G141" s="398"/>
      <c r="H141" s="398"/>
      <c r="I141" s="398"/>
      <c r="J141" s="403"/>
      <c r="K141" s="398"/>
      <c r="L141" s="398"/>
      <c r="M141" s="398"/>
      <c r="N141" s="398"/>
      <c r="O141" s="398"/>
      <c r="P141" s="398"/>
      <c r="Q141" s="398"/>
      <c r="R141" s="398"/>
      <c r="S141" s="398"/>
      <c r="T141" s="398"/>
      <c r="U141" s="398"/>
      <c r="V141" s="398"/>
      <c r="W141" s="398"/>
      <c r="X141" s="398"/>
      <c r="Y141" s="398"/>
      <c r="Z141" s="398"/>
      <c r="AA141" s="398"/>
      <c r="AB141" s="398"/>
      <c r="AC141" s="16"/>
      <c r="AD141" s="54"/>
    </row>
    <row r="142" spans="2:30" ht="15" customHeight="1" x14ac:dyDescent="0.3">
      <c r="B142" s="53"/>
      <c r="C142" s="398"/>
      <c r="D142" s="398"/>
      <c r="E142" s="398"/>
      <c r="F142" s="398"/>
      <c r="G142" s="398"/>
      <c r="H142" s="398"/>
      <c r="I142" s="398"/>
      <c r="J142" s="403"/>
      <c r="K142" s="398"/>
      <c r="L142" s="398"/>
      <c r="M142" s="398"/>
      <c r="N142" s="398"/>
      <c r="O142" s="398"/>
      <c r="P142" s="398"/>
      <c r="Q142" s="398"/>
      <c r="R142" s="398"/>
      <c r="S142" s="398"/>
      <c r="T142" s="398"/>
      <c r="U142" s="398"/>
      <c r="V142" s="398"/>
      <c r="W142" s="398"/>
      <c r="X142" s="398"/>
      <c r="Y142" s="398"/>
      <c r="Z142" s="398"/>
      <c r="AA142" s="398"/>
      <c r="AB142" s="398"/>
      <c r="AC142" s="16"/>
      <c r="AD142" s="54"/>
    </row>
    <row r="143" spans="2:30" ht="15" customHeight="1" x14ac:dyDescent="0.25">
      <c r="B143" s="53"/>
      <c r="C143" s="398"/>
      <c r="D143" s="398"/>
      <c r="E143" s="398"/>
      <c r="F143" s="398"/>
      <c r="G143" s="398"/>
      <c r="H143" s="398"/>
      <c r="I143" s="398"/>
      <c r="J143" s="404"/>
      <c r="K143" s="398"/>
      <c r="L143" s="398"/>
      <c r="M143" s="398"/>
      <c r="N143" s="398"/>
      <c r="O143" s="398"/>
      <c r="P143" s="398"/>
      <c r="Q143" s="398"/>
      <c r="R143" s="398"/>
      <c r="S143" s="398"/>
      <c r="T143" s="398"/>
      <c r="U143" s="398"/>
      <c r="V143" s="398"/>
      <c r="W143" s="398"/>
      <c r="X143" s="398"/>
      <c r="Y143" s="398"/>
      <c r="Z143" s="398"/>
      <c r="AA143" s="398"/>
      <c r="AB143" s="398"/>
      <c r="AC143" s="16"/>
      <c r="AD143" s="54"/>
    </row>
    <row r="144" spans="2:30" ht="15" customHeight="1" x14ac:dyDescent="0.25">
      <c r="B144" s="53"/>
      <c r="C144" s="398"/>
      <c r="D144" s="398"/>
      <c r="E144" s="398"/>
      <c r="F144" s="398"/>
      <c r="G144" s="398"/>
      <c r="H144" s="398"/>
      <c r="I144" s="398"/>
      <c r="J144" s="398"/>
      <c r="K144" s="398"/>
      <c r="L144" s="398"/>
      <c r="M144" s="398"/>
      <c r="N144" s="398"/>
      <c r="O144" s="398"/>
      <c r="P144" s="398"/>
      <c r="Q144" s="398"/>
      <c r="R144" s="398"/>
      <c r="S144" s="398"/>
      <c r="T144" s="398"/>
      <c r="U144" s="398"/>
      <c r="V144" s="398"/>
      <c r="W144" s="398"/>
      <c r="X144" s="398"/>
      <c r="Y144" s="398"/>
      <c r="Z144" s="398"/>
      <c r="AA144" s="398"/>
      <c r="AB144" s="398"/>
      <c r="AC144" s="16"/>
      <c r="AD144" s="54"/>
    </row>
    <row r="145" spans="2:30" ht="15" customHeight="1" x14ac:dyDescent="0.25">
      <c r="B145" s="53"/>
      <c r="C145" s="398"/>
      <c r="D145" s="398"/>
      <c r="E145" s="398"/>
      <c r="F145" s="398"/>
      <c r="G145" s="398"/>
      <c r="H145" s="398"/>
      <c r="I145" s="398"/>
      <c r="J145" s="398"/>
      <c r="K145" s="398"/>
      <c r="L145" s="398"/>
      <c r="M145" s="398"/>
      <c r="N145" s="398"/>
      <c r="O145" s="398"/>
      <c r="P145" s="398"/>
      <c r="Q145" s="398"/>
      <c r="R145" s="398"/>
      <c r="S145" s="398"/>
      <c r="T145" s="398"/>
      <c r="U145" s="398"/>
      <c r="V145" s="398"/>
      <c r="W145" s="398"/>
      <c r="X145" s="398"/>
      <c r="Y145" s="398"/>
      <c r="Z145" s="398"/>
      <c r="AA145" s="398"/>
      <c r="AB145" s="398"/>
      <c r="AC145" s="16"/>
      <c r="AD145" s="54"/>
    </row>
    <row r="146" spans="2:30" ht="15" customHeight="1" x14ac:dyDescent="0.25">
      <c r="B146" s="53"/>
      <c r="C146" s="398"/>
      <c r="D146" s="407" t="s">
        <v>561</v>
      </c>
      <c r="E146" s="398"/>
      <c r="F146" s="408" t="s">
        <v>559</v>
      </c>
      <c r="G146" s="380"/>
      <c r="H146" s="380"/>
      <c r="I146" s="398"/>
      <c r="J146" s="398"/>
      <c r="K146" s="398"/>
      <c r="L146" s="398"/>
      <c r="M146" s="398"/>
      <c r="N146" s="398"/>
      <c r="O146" s="398"/>
      <c r="P146" s="398"/>
      <c r="Q146" s="398"/>
      <c r="R146" s="398"/>
      <c r="S146" s="398"/>
      <c r="T146" s="398"/>
      <c r="U146" s="398"/>
      <c r="V146" s="398"/>
      <c r="W146" s="398"/>
      <c r="X146" s="398"/>
      <c r="Y146" s="398"/>
      <c r="Z146" s="398"/>
      <c r="AA146" s="398"/>
      <c r="AB146" s="398"/>
      <c r="AC146" s="16"/>
      <c r="AD146" s="54"/>
    </row>
    <row r="147" spans="2:30" ht="15" customHeight="1" x14ac:dyDescent="0.25">
      <c r="B147" s="53"/>
      <c r="C147" s="398"/>
      <c r="E147" s="398"/>
      <c r="F147" s="408" t="s">
        <v>560</v>
      </c>
      <c r="G147" s="380"/>
      <c r="H147" s="380"/>
      <c r="I147" s="398"/>
      <c r="J147" s="405"/>
      <c r="K147" s="398"/>
      <c r="L147" s="398"/>
      <c r="M147" s="398"/>
      <c r="N147" s="398"/>
      <c r="O147" s="400" t="s">
        <v>550</v>
      </c>
      <c r="P147" s="398"/>
      <c r="Q147" s="398"/>
      <c r="R147" s="398"/>
      <c r="S147" s="398"/>
      <c r="T147" s="398"/>
      <c r="U147" s="398"/>
      <c r="V147" s="398"/>
      <c r="W147" s="398"/>
      <c r="X147" s="398"/>
      <c r="Y147" s="398"/>
      <c r="Z147" s="398"/>
      <c r="AA147" s="398"/>
      <c r="AB147" s="398"/>
      <c r="AC147" s="16"/>
      <c r="AD147" s="54"/>
    </row>
    <row r="148" spans="2:30" ht="15" customHeight="1" x14ac:dyDescent="0.25">
      <c r="B148" s="53"/>
      <c r="C148" s="398"/>
      <c r="D148" s="398"/>
      <c r="E148" s="380"/>
      <c r="F148" s="380"/>
      <c r="G148" s="380"/>
      <c r="H148" s="380"/>
      <c r="I148" s="398"/>
      <c r="J148" s="405"/>
      <c r="K148" s="398"/>
      <c r="L148" s="398"/>
      <c r="M148" s="398"/>
      <c r="N148" s="398"/>
      <c r="O148" s="398"/>
      <c r="P148" s="398"/>
      <c r="Q148" s="398"/>
      <c r="R148" s="398"/>
      <c r="S148" s="398"/>
      <c r="T148" s="398"/>
      <c r="U148" s="398"/>
      <c r="V148" s="398"/>
      <c r="W148" s="398"/>
      <c r="X148" s="398"/>
      <c r="Y148" s="398"/>
      <c r="Z148" s="398"/>
      <c r="AA148" s="398"/>
      <c r="AB148" s="398"/>
      <c r="AC148" s="16"/>
      <c r="AD148" s="54"/>
    </row>
    <row r="149" spans="2:30" ht="15" customHeight="1" x14ac:dyDescent="0.25">
      <c r="B149" s="53"/>
      <c r="C149" s="124"/>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54"/>
    </row>
    <row r="150" spans="2:30" ht="15" customHeight="1" x14ac:dyDescent="0.25">
      <c r="B150" s="53"/>
      <c r="C150" s="123"/>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54"/>
    </row>
    <row r="151" spans="2:30" ht="15" customHeight="1" x14ac:dyDescent="0.25">
      <c r="B151" s="53"/>
      <c r="C151" s="123"/>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54"/>
    </row>
    <row r="152" spans="2:30" ht="15" customHeight="1" x14ac:dyDescent="0.25">
      <c r="B152" s="53"/>
      <c r="C152" s="123"/>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54"/>
    </row>
    <row r="153" spans="2:30" ht="15" customHeight="1" x14ac:dyDescent="0.3">
      <c r="B153" s="17"/>
      <c r="C153" s="392"/>
      <c r="D153" s="392"/>
      <c r="E153" s="392"/>
      <c r="F153" s="392"/>
      <c r="G153" s="392"/>
      <c r="H153" s="17"/>
      <c r="I153" s="17"/>
      <c r="J153" s="17"/>
      <c r="K153" s="17"/>
      <c r="L153" s="17"/>
      <c r="M153" s="17"/>
      <c r="N153" s="17"/>
      <c r="O153" s="17"/>
      <c r="P153" s="17"/>
      <c r="Q153" s="17"/>
      <c r="R153" s="17"/>
      <c r="S153" s="17"/>
      <c r="T153" s="17"/>
      <c r="U153" s="17"/>
      <c r="V153" s="17"/>
      <c r="W153" s="17"/>
      <c r="X153" s="17"/>
      <c r="Y153" s="17"/>
      <c r="Z153" s="17"/>
      <c r="AA153" s="17"/>
      <c r="AB153" s="17"/>
      <c r="AC153" s="17"/>
      <c r="AD153" s="54"/>
    </row>
    <row r="154" spans="2:30" ht="15" customHeight="1" x14ac:dyDescent="0.25">
      <c r="B154" s="17"/>
      <c r="C154" s="123"/>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54"/>
    </row>
    <row r="155" spans="2:30" ht="15" customHeight="1" x14ac:dyDescent="0.25">
      <c r="B155" s="53"/>
      <c r="C155" s="123"/>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54"/>
    </row>
    <row r="156" spans="2:30" ht="15" customHeight="1" x14ac:dyDescent="0.25">
      <c r="B156" s="53"/>
      <c r="C156" s="123"/>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54"/>
    </row>
    <row r="157" spans="2:30" ht="15" customHeight="1" x14ac:dyDescent="0.25"/>
    <row r="158" spans="2:30" ht="15" customHeight="1" x14ac:dyDescent="0.25"/>
    <row r="159" spans="2:30" ht="15" customHeight="1" x14ac:dyDescent="0.25"/>
    <row r="160" spans="2:3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sheetData>
  <sheetProtection algorithmName="SHA-512" hashValue="fZ9tETHCGrqFGKzOt5aGADZrXqx5MEPNLY+g7/SOQxk/xZbn+B8/fNnKe7gLCgnA0F6e+BdBwzfUUT0rJQlYlA==" saltValue="Zix3TFInrRyNqjRwzYOVtA==" spinCount="100000" sheet="1" selectLockedCells="1"/>
  <protectedRanges>
    <protectedRange sqref="AB38 S27 G35" name="inputs"/>
    <protectedRange sqref="K24 S26 G34" name="inputs_1"/>
  </protectedRanges>
  <mergeCells count="15">
    <mergeCell ref="R112:S112"/>
    <mergeCell ref="E112:F112"/>
    <mergeCell ref="C60:F60"/>
    <mergeCell ref="K63:K65"/>
    <mergeCell ref="S36:W37"/>
    <mergeCell ref="C77:V85"/>
    <mergeCell ref="C71:V76"/>
    <mergeCell ref="C18:R18"/>
    <mergeCell ref="C17:Q17"/>
    <mergeCell ref="G22:N22"/>
    <mergeCell ref="I62:J63"/>
    <mergeCell ref="P32:W33"/>
    <mergeCell ref="P23:W24"/>
    <mergeCell ref="T29:W30"/>
    <mergeCell ref="L27:N28"/>
  </mergeCells>
  <dataValidations disablePrompts="1" count="1">
    <dataValidation allowBlank="1" showErrorMessage="1" promptTitle="Default" prompt="Default at 35 Pa" sqref="S27 AB38 G35" xr:uid="{F17598BB-79C1-49B8-B5B6-8AC9FDC9BE55}"/>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4106" r:id="rId4">
          <objectPr defaultSize="0" r:id="rId5">
            <anchor moveWithCells="1">
              <from>
                <xdr:col>4</xdr:col>
                <xdr:colOff>209550</xdr:colOff>
                <xdr:row>145</xdr:row>
                <xdr:rowOff>47625</xdr:rowOff>
              </from>
              <to>
                <xdr:col>4</xdr:col>
                <xdr:colOff>638175</xdr:colOff>
                <xdr:row>146</xdr:row>
                <xdr:rowOff>0</xdr:rowOff>
              </to>
            </anchor>
          </objectPr>
        </oleObject>
      </mc:Choice>
      <mc:Fallback>
        <oleObject progId="Visio.Drawing.15" shapeId="4106" r:id="rId4"/>
      </mc:Fallback>
    </mc:AlternateContent>
    <mc:AlternateContent xmlns:mc="http://schemas.openxmlformats.org/markup-compatibility/2006">
      <mc:Choice Requires="x14">
        <oleObject progId="Visio.Drawing.15" shapeId="4107" r:id="rId6">
          <objectPr defaultSize="0" r:id="rId7">
            <anchor moveWithCells="1">
              <from>
                <xdr:col>4</xdr:col>
                <xdr:colOff>219075</xdr:colOff>
                <xdr:row>146</xdr:row>
                <xdr:rowOff>47625</xdr:rowOff>
              </from>
              <to>
                <xdr:col>4</xdr:col>
                <xdr:colOff>647700</xdr:colOff>
                <xdr:row>147</xdr:row>
                <xdr:rowOff>0</xdr:rowOff>
              </to>
            </anchor>
          </objectPr>
        </oleObject>
      </mc:Choice>
      <mc:Fallback>
        <oleObject progId="Visio.Drawing.15" shapeId="4107" r:id="rId6"/>
      </mc:Fallback>
    </mc:AlternateContent>
    <mc:AlternateContent xmlns:mc="http://schemas.openxmlformats.org/markup-compatibility/2006">
      <mc:Choice Requires="x14">
        <oleObject progId="Visio.Drawing.15" shapeId="4109" r:id="rId8">
          <objectPr defaultSize="0" autoPict="0" r:id="rId9">
            <anchor moveWithCells="1">
              <from>
                <xdr:col>2</xdr:col>
                <xdr:colOff>85725</xdr:colOff>
                <xdr:row>112</xdr:row>
                <xdr:rowOff>66675</xdr:rowOff>
              </from>
              <to>
                <xdr:col>7</xdr:col>
                <xdr:colOff>647700</xdr:colOff>
                <xdr:row>127</xdr:row>
                <xdr:rowOff>123825</xdr:rowOff>
              </to>
            </anchor>
          </objectPr>
        </oleObject>
      </mc:Choice>
      <mc:Fallback>
        <oleObject progId="Visio.Drawing.15" shapeId="4109" r:id="rId8"/>
      </mc:Fallback>
    </mc:AlternateContent>
    <mc:AlternateContent xmlns:mc="http://schemas.openxmlformats.org/markup-compatibility/2006">
      <mc:Choice Requires="x14">
        <oleObject progId="Visio.Drawing.15" shapeId="4123" r:id="rId10">
          <objectPr defaultSize="0" r:id="rId11">
            <anchor moveWithCells="1">
              <from>
                <xdr:col>3</xdr:col>
                <xdr:colOff>523875</xdr:colOff>
                <xdr:row>131</xdr:row>
                <xdr:rowOff>123825</xdr:rowOff>
              </from>
              <to>
                <xdr:col>6</xdr:col>
                <xdr:colOff>381000</xdr:colOff>
                <xdr:row>143</xdr:row>
                <xdr:rowOff>19050</xdr:rowOff>
              </to>
            </anchor>
          </objectPr>
        </oleObject>
      </mc:Choice>
      <mc:Fallback>
        <oleObject progId="Visio.Drawing.15" shapeId="4123" r:id="rId10"/>
      </mc:Fallback>
    </mc:AlternateContent>
    <mc:AlternateContent xmlns:mc="http://schemas.openxmlformats.org/markup-compatibility/2006">
      <mc:Choice Requires="x14">
        <oleObject progId="Visio.Drawing.15" shapeId="4124" r:id="rId12">
          <objectPr defaultSize="0" r:id="rId13">
            <anchor moveWithCells="1">
              <from>
                <xdr:col>10</xdr:col>
                <xdr:colOff>19050</xdr:colOff>
                <xdr:row>132</xdr:row>
                <xdr:rowOff>0</xdr:rowOff>
              </from>
              <to>
                <xdr:col>12</xdr:col>
                <xdr:colOff>638175</xdr:colOff>
                <xdr:row>143</xdr:row>
                <xdr:rowOff>85725</xdr:rowOff>
              </to>
            </anchor>
          </objectPr>
        </oleObject>
      </mc:Choice>
      <mc:Fallback>
        <oleObject progId="Visio.Drawing.15" shapeId="4124" r:id="rId12"/>
      </mc:Fallback>
    </mc:AlternateContent>
    <mc:AlternateContent xmlns:mc="http://schemas.openxmlformats.org/markup-compatibility/2006">
      <mc:Choice Requires="x14">
        <oleObject progId="Visio.Drawing.15" shapeId="4125" r:id="rId14">
          <objectPr defaultSize="0" r:id="rId15">
            <anchor moveWithCells="1">
              <from>
                <xdr:col>16</xdr:col>
                <xdr:colOff>114300</xdr:colOff>
                <xdr:row>131</xdr:row>
                <xdr:rowOff>161925</xdr:rowOff>
              </from>
              <to>
                <xdr:col>19</xdr:col>
                <xdr:colOff>476250</xdr:colOff>
                <xdr:row>144</xdr:row>
                <xdr:rowOff>66675</xdr:rowOff>
              </to>
            </anchor>
          </objectPr>
        </oleObject>
      </mc:Choice>
      <mc:Fallback>
        <oleObject progId="Visio.Drawing.15" shapeId="4125" r:id="rId14"/>
      </mc:Fallback>
    </mc:AlternateContent>
    <mc:AlternateContent xmlns:mc="http://schemas.openxmlformats.org/markup-compatibility/2006">
      <mc:Choice Requires="x14">
        <oleObject progId="Visio.Drawing.15" shapeId="4126" r:id="rId16">
          <objectPr defaultSize="0" r:id="rId17">
            <anchor moveWithCells="1">
              <from>
                <xdr:col>22</xdr:col>
                <xdr:colOff>238125</xdr:colOff>
                <xdr:row>131</xdr:row>
                <xdr:rowOff>28575</xdr:rowOff>
              </from>
              <to>
                <xdr:col>26</xdr:col>
                <xdr:colOff>104775</xdr:colOff>
                <xdr:row>146</xdr:row>
                <xdr:rowOff>38100</xdr:rowOff>
              </to>
            </anchor>
          </objectPr>
        </oleObject>
      </mc:Choice>
      <mc:Fallback>
        <oleObject progId="Visio.Drawing.15" shapeId="4126" r:id="rId16"/>
      </mc:Fallback>
    </mc:AlternateContent>
    <mc:AlternateContent xmlns:mc="http://schemas.openxmlformats.org/markup-compatibility/2006">
      <mc:Choice Requires="x14">
        <oleObject progId="Visio.Drawing.15" shapeId="4127" r:id="rId18">
          <objectPr defaultSize="0" r:id="rId19">
            <anchor moveWithCells="1">
              <from>
                <xdr:col>8</xdr:col>
                <xdr:colOff>504825</xdr:colOff>
                <xdr:row>112</xdr:row>
                <xdr:rowOff>66675</xdr:rowOff>
              </from>
              <to>
                <xdr:col>13</xdr:col>
                <xdr:colOff>866775</xdr:colOff>
                <xdr:row>127</xdr:row>
                <xdr:rowOff>123825</xdr:rowOff>
              </to>
            </anchor>
          </objectPr>
        </oleObject>
      </mc:Choice>
      <mc:Fallback>
        <oleObject progId="Visio.Drawing.15" shapeId="4127" r:id="rId18"/>
      </mc:Fallback>
    </mc:AlternateContent>
    <mc:AlternateContent xmlns:mc="http://schemas.openxmlformats.org/markup-compatibility/2006">
      <mc:Choice Requires="x14">
        <oleObject progId="Visio.Drawing.15" shapeId="4128" r:id="rId20">
          <objectPr defaultSize="0" r:id="rId21">
            <anchor moveWithCells="1">
              <from>
                <xdr:col>15</xdr:col>
                <xdr:colOff>66675</xdr:colOff>
                <xdr:row>112</xdr:row>
                <xdr:rowOff>66675</xdr:rowOff>
              </from>
              <to>
                <xdr:col>20</xdr:col>
                <xdr:colOff>685800</xdr:colOff>
                <xdr:row>127</xdr:row>
                <xdr:rowOff>123825</xdr:rowOff>
              </to>
            </anchor>
          </objectPr>
        </oleObject>
      </mc:Choice>
      <mc:Fallback>
        <oleObject progId="Visio.Drawing.15" shapeId="4128" r:id="rId20"/>
      </mc:Fallback>
    </mc:AlternateContent>
    <mc:AlternateContent xmlns:mc="http://schemas.openxmlformats.org/markup-compatibility/2006">
      <mc:Choice Requires="x14">
        <oleObject progId="Visio.Drawing.15" shapeId="4129" r:id="rId22">
          <objectPr defaultSize="0" r:id="rId23">
            <anchor moveWithCells="1">
              <from>
                <xdr:col>21</xdr:col>
                <xdr:colOff>371475</xdr:colOff>
                <xdr:row>112</xdr:row>
                <xdr:rowOff>66675</xdr:rowOff>
              </from>
              <to>
                <xdr:col>27</xdr:col>
                <xdr:colOff>438150</xdr:colOff>
                <xdr:row>127</xdr:row>
                <xdr:rowOff>123825</xdr:rowOff>
              </to>
            </anchor>
          </objectPr>
        </oleObject>
      </mc:Choice>
      <mc:Fallback>
        <oleObject progId="Visio.Drawing.15" shapeId="4129" r:id="rId22"/>
      </mc:Fallback>
    </mc:AlternateContent>
    <mc:AlternateContent xmlns:mc="http://schemas.openxmlformats.org/markup-compatibility/2006">
      <mc:Choice Requires="x14">
        <oleObject progId="Visio.Drawing.15" shapeId="4188" r:id="rId24">
          <objectPr defaultSize="0" autoPict="0" r:id="rId25">
            <anchor moveWithCells="1">
              <from>
                <xdr:col>3</xdr:col>
                <xdr:colOff>247650</xdr:colOff>
                <xdr:row>30</xdr:row>
                <xdr:rowOff>57150</xdr:rowOff>
              </from>
              <to>
                <xdr:col>18</xdr:col>
                <xdr:colOff>66675</xdr:colOff>
                <xdr:row>56</xdr:row>
                <xdr:rowOff>171450</xdr:rowOff>
              </to>
            </anchor>
          </objectPr>
        </oleObject>
      </mc:Choice>
      <mc:Fallback>
        <oleObject progId="Visio.Drawing.15" shapeId="4188" r:id="rId24"/>
      </mc:Fallback>
    </mc:AlternateContent>
    <mc:AlternateContent xmlns:mc="http://schemas.openxmlformats.org/markup-compatibility/2006">
      <mc:Choice Requires="x14">
        <oleObject progId="Visio.Drawing.15" shapeId="4189" r:id="rId26">
          <objectPr defaultSize="0" r:id="rId27">
            <anchor moveWithCells="1">
              <from>
                <xdr:col>2</xdr:col>
                <xdr:colOff>47625</xdr:colOff>
                <xdr:row>90</xdr:row>
                <xdr:rowOff>0</xdr:rowOff>
              </from>
              <to>
                <xdr:col>6</xdr:col>
                <xdr:colOff>371475</xdr:colOff>
                <xdr:row>104</xdr:row>
                <xdr:rowOff>133350</xdr:rowOff>
              </to>
            </anchor>
          </objectPr>
        </oleObject>
      </mc:Choice>
      <mc:Fallback>
        <oleObject progId="Visio.Drawing.15" shapeId="4189" r:id="rId26"/>
      </mc:Fallback>
    </mc:AlternateContent>
    <mc:AlternateContent xmlns:mc="http://schemas.openxmlformats.org/markup-compatibility/2006">
      <mc:Choice Requires="x14">
        <oleObject progId="Visio.Drawing.15" shapeId="4190" r:id="rId28">
          <objectPr defaultSize="0" r:id="rId29">
            <anchor moveWithCells="1">
              <from>
                <xdr:col>7</xdr:col>
                <xdr:colOff>0</xdr:colOff>
                <xdr:row>90</xdr:row>
                <xdr:rowOff>0</xdr:rowOff>
              </from>
              <to>
                <xdr:col>13</xdr:col>
                <xdr:colOff>228600</xdr:colOff>
                <xdr:row>104</xdr:row>
                <xdr:rowOff>133350</xdr:rowOff>
              </to>
            </anchor>
          </objectPr>
        </oleObject>
      </mc:Choice>
      <mc:Fallback>
        <oleObject progId="Visio.Drawing.15" shapeId="4190" r:id="rId28"/>
      </mc:Fallback>
    </mc:AlternateContent>
    <mc:AlternateContent xmlns:mc="http://schemas.openxmlformats.org/markup-compatibility/2006">
      <mc:Choice Requires="x14">
        <oleObject progId="Visio.Drawing.15" shapeId="4191" r:id="rId30">
          <objectPr defaultSize="0" r:id="rId31">
            <anchor moveWithCells="1">
              <from>
                <xdr:col>14</xdr:col>
                <xdr:colOff>0</xdr:colOff>
                <xdr:row>90</xdr:row>
                <xdr:rowOff>0</xdr:rowOff>
              </from>
              <to>
                <xdr:col>20</xdr:col>
                <xdr:colOff>590550</xdr:colOff>
                <xdr:row>104</xdr:row>
                <xdr:rowOff>133350</xdr:rowOff>
              </to>
            </anchor>
          </objectPr>
        </oleObject>
      </mc:Choice>
      <mc:Fallback>
        <oleObject progId="Visio.Drawing.15" shapeId="4191" r:id="rId30"/>
      </mc:Fallback>
    </mc:AlternateContent>
    <mc:AlternateContent xmlns:mc="http://schemas.openxmlformats.org/markup-compatibility/2006">
      <mc:Choice Requires="x14">
        <oleObject progId="Visio.Drawing.15" shapeId="4192" r:id="rId32">
          <objectPr defaultSize="0" r:id="rId33">
            <anchor moveWithCells="1">
              <from>
                <xdr:col>21</xdr:col>
                <xdr:colOff>657225</xdr:colOff>
                <xdr:row>90</xdr:row>
                <xdr:rowOff>19050</xdr:rowOff>
              </from>
              <to>
                <xdr:col>29</xdr:col>
                <xdr:colOff>476250</xdr:colOff>
                <xdr:row>104</xdr:row>
                <xdr:rowOff>152400</xdr:rowOff>
              </to>
            </anchor>
          </objectPr>
        </oleObject>
      </mc:Choice>
      <mc:Fallback>
        <oleObject progId="Visio.Drawing.15" shapeId="4192" r:id="rId32"/>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9876-2530-49E2-834E-3526D7C142A5}">
  <sheetPr codeName="Sheet5"/>
  <dimension ref="B1:Z57"/>
  <sheetViews>
    <sheetView workbookViewId="0">
      <selection activeCell="H43" sqref="H43"/>
    </sheetView>
  </sheetViews>
  <sheetFormatPr defaultRowHeight="15" x14ac:dyDescent="0.25"/>
  <cols>
    <col min="1" max="2" width="3.5703125" customWidth="1"/>
    <col min="3" max="3" width="17.5703125" customWidth="1"/>
    <col min="4" max="6" width="10.5703125" customWidth="1"/>
    <col min="7" max="7" width="13" customWidth="1"/>
    <col min="8" max="9" width="10.5703125" customWidth="1"/>
    <col min="10" max="10" width="15.42578125" customWidth="1"/>
    <col min="11" max="11" width="17.42578125" customWidth="1"/>
    <col min="12" max="12" width="6.5703125" customWidth="1"/>
    <col min="13" max="27" width="10.5703125" customWidth="1"/>
    <col min="28" max="28" width="8.5703125" customWidth="1"/>
    <col min="29" max="29" width="10.5703125" customWidth="1"/>
  </cols>
  <sheetData>
    <row r="1" spans="2:26" ht="13.5" customHeight="1" x14ac:dyDescent="0.25">
      <c r="B1" s="29"/>
      <c r="C1" s="30"/>
      <c r="D1" s="30"/>
      <c r="E1" s="30"/>
      <c r="F1" s="30"/>
      <c r="G1" s="30"/>
      <c r="H1" s="30"/>
      <c r="I1" s="30"/>
      <c r="J1" s="30"/>
      <c r="K1" s="30"/>
      <c r="L1" s="30"/>
      <c r="M1" s="30"/>
      <c r="N1" s="30"/>
      <c r="O1" s="30"/>
      <c r="P1" s="30"/>
      <c r="Q1" s="30"/>
      <c r="R1" s="30"/>
      <c r="S1" s="30"/>
      <c r="T1" s="30"/>
      <c r="U1" s="30"/>
      <c r="V1" s="30"/>
      <c r="W1" s="30"/>
      <c r="X1" s="30"/>
      <c r="Y1" s="30"/>
      <c r="Z1" s="31"/>
    </row>
    <row r="2" spans="2:26" ht="21" x14ac:dyDescent="0.35">
      <c r="B2" s="32"/>
      <c r="C2" s="24" t="s">
        <v>58</v>
      </c>
      <c r="D2" s="21"/>
      <c r="E2" s="21"/>
      <c r="F2" s="21"/>
      <c r="G2" s="21"/>
      <c r="H2" s="21"/>
      <c r="I2" s="46"/>
      <c r="J2" s="46"/>
      <c r="K2" s="46"/>
      <c r="L2" s="46"/>
      <c r="M2" s="46"/>
      <c r="N2" s="46"/>
      <c r="O2" s="46"/>
      <c r="P2" s="46"/>
      <c r="Q2" s="46"/>
      <c r="R2" s="46"/>
      <c r="S2" s="46"/>
      <c r="T2" s="46"/>
      <c r="U2" s="46"/>
      <c r="V2" s="46"/>
      <c r="W2" s="46"/>
      <c r="X2" s="46"/>
      <c r="Y2" s="46"/>
      <c r="Z2" s="46"/>
    </row>
    <row r="3" spans="2:26" ht="25.5" customHeight="1" x14ac:dyDescent="0.35">
      <c r="B3" s="32"/>
      <c r="C3" s="34" t="s">
        <v>862</v>
      </c>
      <c r="D3" s="21"/>
      <c r="E3" s="21"/>
      <c r="F3" s="21"/>
      <c r="G3" s="21"/>
      <c r="H3" s="21"/>
      <c r="I3" s="46"/>
      <c r="J3" s="46"/>
      <c r="K3" s="46"/>
      <c r="L3" s="46"/>
      <c r="M3" s="46"/>
      <c r="N3" s="46"/>
      <c r="O3" s="46"/>
      <c r="P3" s="46"/>
      <c r="Q3" s="46"/>
      <c r="R3" s="46"/>
      <c r="S3" s="46"/>
      <c r="T3" s="46"/>
      <c r="U3" s="46"/>
      <c r="V3" s="46"/>
      <c r="W3" s="46"/>
      <c r="X3" s="46"/>
      <c r="Y3" s="46"/>
      <c r="Z3" s="46"/>
    </row>
    <row r="4" spans="2:26" ht="13.5" customHeight="1" x14ac:dyDescent="0.3">
      <c r="B4" s="32"/>
      <c r="C4" s="25"/>
      <c r="D4" s="21"/>
      <c r="E4" s="21"/>
      <c r="F4" s="21"/>
      <c r="G4" s="21"/>
      <c r="H4" s="21"/>
      <c r="I4" s="21"/>
      <c r="J4" s="21"/>
      <c r="K4" s="21"/>
      <c r="L4" s="21"/>
      <c r="M4" s="21"/>
      <c r="N4" s="21"/>
      <c r="O4" s="21"/>
      <c r="P4" s="21"/>
      <c r="Q4" s="21"/>
      <c r="R4" s="21"/>
      <c r="S4" s="21"/>
      <c r="T4" s="21"/>
      <c r="U4" s="21"/>
      <c r="V4" s="21"/>
      <c r="W4" s="21"/>
      <c r="X4" s="21"/>
      <c r="Y4" s="21"/>
      <c r="Z4" s="33"/>
    </row>
    <row r="5" spans="2:26" x14ac:dyDescent="0.25">
      <c r="B5" s="50"/>
      <c r="C5" s="51"/>
      <c r="D5" s="51"/>
      <c r="E5" s="51"/>
      <c r="F5" s="51"/>
      <c r="G5" s="51"/>
      <c r="H5" s="51"/>
      <c r="I5" s="51"/>
      <c r="J5" s="51"/>
      <c r="K5" s="51"/>
      <c r="L5" s="51"/>
      <c r="M5" s="51"/>
      <c r="N5" s="51"/>
      <c r="O5" s="51"/>
      <c r="P5" s="51"/>
      <c r="Q5" s="51"/>
      <c r="R5" s="51"/>
      <c r="S5" s="51"/>
      <c r="T5" s="51"/>
      <c r="U5" s="51"/>
      <c r="V5" s="51"/>
      <c r="W5" s="51"/>
      <c r="X5" s="51"/>
      <c r="Y5" s="51"/>
      <c r="Z5" s="52"/>
    </row>
    <row r="6" spans="2:26" ht="15" customHeight="1" x14ac:dyDescent="0.25">
      <c r="B6" s="53"/>
      <c r="C6" s="753" t="s">
        <v>945</v>
      </c>
      <c r="D6" s="753"/>
      <c r="E6" s="753"/>
      <c r="F6" s="753"/>
      <c r="G6" s="753"/>
      <c r="H6" s="753"/>
      <c r="I6" s="753"/>
      <c r="J6" s="753"/>
      <c r="K6" s="753"/>
      <c r="L6" s="753"/>
      <c r="M6" s="753"/>
      <c r="N6" s="753"/>
      <c r="O6" s="17"/>
      <c r="P6" s="17"/>
      <c r="Q6" s="17"/>
      <c r="R6" s="17"/>
      <c r="S6" s="17"/>
      <c r="T6" s="17"/>
      <c r="U6" s="17"/>
      <c r="V6" s="17"/>
      <c r="W6" s="17"/>
      <c r="X6" s="17"/>
      <c r="Y6" s="17"/>
      <c r="Z6" s="54"/>
    </row>
    <row r="7" spans="2:26" x14ac:dyDescent="0.25">
      <c r="B7" s="53"/>
      <c r="C7" s="753"/>
      <c r="D7" s="753"/>
      <c r="E7" s="753"/>
      <c r="F7" s="753"/>
      <c r="G7" s="753"/>
      <c r="H7" s="753"/>
      <c r="I7" s="753"/>
      <c r="J7" s="753"/>
      <c r="K7" s="753"/>
      <c r="L7" s="753"/>
      <c r="M7" s="753"/>
      <c r="N7" s="753"/>
      <c r="O7" s="43"/>
      <c r="P7" s="17"/>
      <c r="Q7" s="17"/>
      <c r="R7" s="17"/>
      <c r="S7" s="17"/>
      <c r="T7" s="17"/>
      <c r="U7" s="17"/>
      <c r="V7" s="17"/>
      <c r="W7" s="17"/>
      <c r="X7" s="17"/>
      <c r="Y7" s="17"/>
      <c r="Z7" s="54"/>
    </row>
    <row r="8" spans="2:26" x14ac:dyDescent="0.25">
      <c r="B8" s="53"/>
      <c r="C8" s="753"/>
      <c r="D8" s="753"/>
      <c r="E8" s="753"/>
      <c r="F8" s="753"/>
      <c r="G8" s="753"/>
      <c r="H8" s="753"/>
      <c r="I8" s="753"/>
      <c r="J8" s="753"/>
      <c r="K8" s="753"/>
      <c r="L8" s="753"/>
      <c r="M8" s="753"/>
      <c r="N8" s="753"/>
      <c r="O8" s="17"/>
      <c r="P8" s="17"/>
      <c r="Q8" s="17"/>
      <c r="R8" s="17"/>
      <c r="S8" s="17"/>
      <c r="T8" s="17"/>
      <c r="U8" s="17"/>
      <c r="V8" s="17"/>
      <c r="W8" s="17"/>
      <c r="X8" s="17"/>
      <c r="Y8" s="17"/>
      <c r="Z8" s="54"/>
    </row>
    <row r="9" spans="2:26" ht="9.75" customHeight="1" x14ac:dyDescent="0.25">
      <c r="B9" s="53"/>
      <c r="C9" s="646"/>
      <c r="D9" s="646"/>
      <c r="E9" s="646"/>
      <c r="F9" s="646"/>
      <c r="G9" s="646"/>
      <c r="H9" s="646"/>
      <c r="I9" s="646"/>
      <c r="J9" s="646"/>
      <c r="K9" s="646"/>
      <c r="L9" s="646"/>
      <c r="M9" s="646"/>
      <c r="N9" s="646"/>
      <c r="O9" s="17"/>
      <c r="P9" s="17"/>
      <c r="Q9" s="17"/>
      <c r="R9" s="17"/>
      <c r="S9" s="17"/>
      <c r="T9" s="17"/>
      <c r="U9" s="17"/>
      <c r="V9" s="17"/>
      <c r="W9" s="17"/>
      <c r="X9" s="17"/>
      <c r="Y9" s="17"/>
      <c r="Z9" s="54"/>
    </row>
    <row r="10" spans="2:26" ht="20.25" thickBot="1" x14ac:dyDescent="0.35">
      <c r="B10" s="53"/>
      <c r="C10" s="132" t="s">
        <v>863</v>
      </c>
      <c r="D10" s="132"/>
      <c r="E10" s="132"/>
      <c r="F10" s="132"/>
      <c r="G10" s="132"/>
      <c r="H10" s="132"/>
      <c r="I10" s="132"/>
      <c r="J10" s="132"/>
      <c r="K10" s="132"/>
      <c r="L10" s="17"/>
      <c r="M10" s="43"/>
      <c r="N10" s="17"/>
      <c r="O10" s="330"/>
      <c r="P10" s="330"/>
      <c r="Q10" s="330"/>
      <c r="R10" s="330"/>
      <c r="S10" s="330"/>
      <c r="T10" s="330"/>
      <c r="U10" s="17"/>
      <c r="V10" s="17"/>
      <c r="W10" s="17"/>
      <c r="X10" s="17"/>
      <c r="Y10" s="17"/>
      <c r="Z10" s="54"/>
    </row>
    <row r="11" spans="2:26" ht="15" customHeight="1" thickTop="1" x14ac:dyDescent="0.25">
      <c r="B11" s="53"/>
      <c r="C11" s="123"/>
      <c r="D11" s="17"/>
      <c r="E11" s="17"/>
      <c r="F11" s="17"/>
      <c r="G11" s="17"/>
      <c r="H11" s="17"/>
      <c r="I11" s="17"/>
      <c r="J11" s="17"/>
      <c r="K11" s="17"/>
      <c r="L11" s="17"/>
      <c r="M11" s="17"/>
      <c r="N11" s="17"/>
      <c r="O11" s="17"/>
      <c r="P11" s="17"/>
      <c r="Q11" s="17"/>
      <c r="R11" s="17"/>
      <c r="S11" s="17"/>
      <c r="T11" s="17"/>
      <c r="U11" s="17"/>
      <c r="V11" s="17"/>
      <c r="W11" s="17"/>
      <c r="X11" s="17"/>
      <c r="Y11" s="17"/>
      <c r="Z11" s="54"/>
    </row>
    <row r="12" spans="2:26" ht="15.75" customHeight="1" x14ac:dyDescent="0.25">
      <c r="B12" s="53"/>
      <c r="C12" s="336" t="s">
        <v>186</v>
      </c>
      <c r="D12" s="329"/>
      <c r="E12" s="329"/>
      <c r="F12" s="329"/>
      <c r="G12" s="329"/>
      <c r="H12" s="329"/>
      <c r="I12" s="329"/>
      <c r="J12" s="329"/>
      <c r="K12" s="329"/>
      <c r="L12" s="17"/>
      <c r="M12" s="330"/>
      <c r="N12" s="330"/>
      <c r="O12" s="17"/>
      <c r="P12" s="17"/>
      <c r="Q12" s="17"/>
      <c r="R12" s="17"/>
      <c r="S12" s="17"/>
      <c r="T12" s="17"/>
      <c r="U12" s="17"/>
      <c r="V12" s="17"/>
      <c r="W12" s="17"/>
      <c r="X12" s="17"/>
      <c r="Y12" s="17"/>
      <c r="Z12" s="54"/>
    </row>
    <row r="13" spans="2:26" ht="20.25" customHeight="1" x14ac:dyDescent="0.25">
      <c r="B13" s="53"/>
      <c r="C13" s="17"/>
      <c r="D13" s="17"/>
      <c r="E13" s="17"/>
      <c r="F13" s="17"/>
      <c r="G13" s="17"/>
      <c r="H13" s="17"/>
      <c r="I13" s="17"/>
      <c r="J13" s="17"/>
      <c r="K13" s="17"/>
      <c r="L13" s="17"/>
      <c r="M13" s="17"/>
      <c r="N13" s="17"/>
      <c r="O13" s="17"/>
      <c r="P13" s="17"/>
      <c r="Q13" s="17"/>
      <c r="R13" s="17"/>
      <c r="S13" s="17"/>
      <c r="T13" s="17"/>
      <c r="U13" s="17"/>
      <c r="V13" s="17"/>
      <c r="W13" s="17"/>
      <c r="X13" s="17"/>
      <c r="Y13" s="17"/>
      <c r="Z13" s="54"/>
    </row>
    <row r="14" spans="2:26" ht="19.5" customHeight="1" x14ac:dyDescent="0.25">
      <c r="B14" s="53"/>
      <c r="C14" s="379" t="s">
        <v>831</v>
      </c>
      <c r="D14" s="330"/>
      <c r="E14" s="330"/>
      <c r="F14" s="330"/>
      <c r="G14" s="359" t="s">
        <v>185</v>
      </c>
      <c r="H14" s="754" t="s">
        <v>182</v>
      </c>
      <c r="I14" s="755"/>
      <c r="J14" s="337"/>
      <c r="K14" s="756" t="s">
        <v>854</v>
      </c>
      <c r="L14" s="17"/>
      <c r="M14" s="330"/>
      <c r="N14" s="330"/>
      <c r="O14" s="17"/>
      <c r="P14" s="17"/>
      <c r="Q14" s="17"/>
      <c r="R14" s="17"/>
      <c r="S14" s="17"/>
      <c r="T14" s="17"/>
      <c r="U14" s="17"/>
      <c r="V14" s="17"/>
      <c r="W14" s="17"/>
      <c r="X14" s="17"/>
      <c r="Y14" s="17"/>
      <c r="Z14" s="54"/>
    </row>
    <row r="15" spans="2:26" ht="33.950000000000003" customHeight="1" x14ac:dyDescent="0.25">
      <c r="B15" s="53"/>
      <c r="C15" s="136"/>
      <c r="D15" s="331" t="s">
        <v>482</v>
      </c>
      <c r="E15" s="340" t="s">
        <v>487</v>
      </c>
      <c r="F15" s="340"/>
      <c r="G15" s="360" t="s">
        <v>184</v>
      </c>
      <c r="H15" s="358" t="s">
        <v>175</v>
      </c>
      <c r="I15" s="361" t="s">
        <v>176</v>
      </c>
      <c r="J15" s="340" t="s">
        <v>495</v>
      </c>
      <c r="K15" s="756"/>
      <c r="L15" s="136"/>
      <c r="M15" s="333"/>
      <c r="N15" s="198"/>
      <c r="O15" s="17"/>
      <c r="P15" s="17"/>
      <c r="Q15" s="17"/>
      <c r="R15" s="17"/>
      <c r="S15" s="17"/>
      <c r="T15" s="17"/>
      <c r="U15" s="17"/>
      <c r="V15" s="17"/>
      <c r="W15" s="17"/>
      <c r="X15" s="17"/>
      <c r="Y15" s="17"/>
      <c r="Z15" s="54"/>
    </row>
    <row r="16" spans="2:26" ht="19.5" customHeight="1" x14ac:dyDescent="0.25">
      <c r="B16" s="53"/>
      <c r="C16" s="136"/>
      <c r="D16" s="371" t="s">
        <v>187</v>
      </c>
      <c r="E16" s="371" t="s">
        <v>488</v>
      </c>
      <c r="F16" s="371" t="s">
        <v>522</v>
      </c>
      <c r="G16" s="372" t="s">
        <v>484</v>
      </c>
      <c r="H16" s="373" t="s">
        <v>483</v>
      </c>
      <c r="I16" s="375" t="s">
        <v>689</v>
      </c>
      <c r="J16" s="371"/>
      <c r="K16" s="757"/>
      <c r="L16" s="17"/>
      <c r="M16" s="334"/>
      <c r="N16" s="17"/>
      <c r="O16" s="17"/>
      <c r="P16" s="17"/>
      <c r="Q16" s="17"/>
      <c r="R16" s="17"/>
      <c r="S16" s="17"/>
      <c r="T16" s="17"/>
      <c r="U16" s="17"/>
      <c r="V16" s="17"/>
      <c r="W16" s="17"/>
      <c r="X16" s="17"/>
      <c r="Y16" s="131"/>
      <c r="Z16" s="54"/>
    </row>
    <row r="17" spans="2:26" ht="19.5" customHeight="1" x14ac:dyDescent="0.25">
      <c r="B17" s="53"/>
      <c r="C17" s="136" t="s">
        <v>177</v>
      </c>
      <c r="D17" s="333">
        <v>200</v>
      </c>
      <c r="E17" s="333">
        <v>50</v>
      </c>
      <c r="F17" s="333">
        <f>D17-E17-H17</f>
        <v>25</v>
      </c>
      <c r="G17" s="366"/>
      <c r="H17" s="357">
        <v>125</v>
      </c>
      <c r="I17" s="362">
        <v>170</v>
      </c>
      <c r="J17" s="198">
        <v>1.6654156934922754E-2</v>
      </c>
      <c r="K17" s="564">
        <f>CEILING(J17*3.5*1000,1)</f>
        <v>59</v>
      </c>
      <c r="L17" s="17"/>
      <c r="M17" s="17"/>
      <c r="N17" s="17"/>
      <c r="O17" s="17"/>
      <c r="P17" s="17"/>
      <c r="Q17" s="17"/>
      <c r="R17" s="17"/>
      <c r="S17" s="17"/>
      <c r="T17" s="17"/>
      <c r="U17" s="17"/>
      <c r="V17" s="17"/>
      <c r="W17" s="17"/>
      <c r="X17" s="17"/>
      <c r="Y17" s="17"/>
      <c r="Z17" s="54"/>
    </row>
    <row r="18" spans="2:26" ht="19.5" customHeight="1" x14ac:dyDescent="0.25">
      <c r="B18" s="53"/>
      <c r="C18" s="136" t="s">
        <v>178</v>
      </c>
      <c r="D18" s="333">
        <v>200</v>
      </c>
      <c r="E18" s="333">
        <v>50</v>
      </c>
      <c r="F18" s="333">
        <f t="shared" ref="F18:F20" si="0">D18-E18-H18</f>
        <v>25</v>
      </c>
      <c r="G18" s="367"/>
      <c r="H18" s="357">
        <v>125</v>
      </c>
      <c r="I18" s="362">
        <v>252</v>
      </c>
      <c r="J18" s="198">
        <v>2.4754257821257876E-2</v>
      </c>
      <c r="K18" s="564">
        <f t="shared" ref="K18:K20" si="1">CEILING(J18*3.5*1000,1)</f>
        <v>87</v>
      </c>
      <c r="L18" s="17"/>
      <c r="M18" s="17"/>
      <c r="N18" s="17"/>
      <c r="O18" s="17"/>
      <c r="P18" s="17"/>
      <c r="Q18" s="17"/>
      <c r="R18" s="17"/>
      <c r="S18" s="17"/>
      <c r="T18" s="17"/>
      <c r="U18" s="17"/>
      <c r="V18" s="17"/>
      <c r="W18" s="17"/>
      <c r="X18" s="17"/>
      <c r="Y18" s="17"/>
      <c r="Z18" s="54"/>
    </row>
    <row r="19" spans="2:26" ht="19.5" customHeight="1" x14ac:dyDescent="0.25">
      <c r="B19" s="53"/>
      <c r="C19" s="136" t="s">
        <v>2</v>
      </c>
      <c r="D19" s="333">
        <v>200</v>
      </c>
      <c r="E19" s="333">
        <v>50</v>
      </c>
      <c r="F19" s="333">
        <f t="shared" si="0"/>
        <v>25</v>
      </c>
      <c r="G19" s="367"/>
      <c r="H19" s="357">
        <v>125</v>
      </c>
      <c r="I19" s="362">
        <v>329</v>
      </c>
      <c r="J19" s="198">
        <v>3.231978454180915E-2</v>
      </c>
      <c r="K19" s="564">
        <f t="shared" si="1"/>
        <v>114</v>
      </c>
      <c r="L19" s="17"/>
      <c r="M19" s="17"/>
      <c r="N19" s="131"/>
      <c r="O19" s="17"/>
      <c r="P19" s="17"/>
      <c r="Q19" s="17"/>
      <c r="R19" s="330"/>
      <c r="S19" s="17"/>
      <c r="T19" s="17"/>
      <c r="U19" s="17"/>
      <c r="V19" s="17"/>
      <c r="W19" s="17"/>
      <c r="X19" s="17"/>
      <c r="Y19" s="17"/>
      <c r="Z19" s="54"/>
    </row>
    <row r="20" spans="2:26" ht="19.5" customHeight="1" x14ac:dyDescent="0.25">
      <c r="B20" s="53"/>
      <c r="C20" s="136" t="s">
        <v>179</v>
      </c>
      <c r="D20" s="333">
        <v>200</v>
      </c>
      <c r="E20" s="333">
        <v>50</v>
      </c>
      <c r="F20" s="333">
        <f t="shared" si="0"/>
        <v>25</v>
      </c>
      <c r="G20" s="367"/>
      <c r="H20" s="357">
        <v>125</v>
      </c>
      <c r="I20" s="362">
        <v>404</v>
      </c>
      <c r="J20" s="198">
        <v>3.965786833474555E-2</v>
      </c>
      <c r="K20" s="564">
        <f t="shared" si="1"/>
        <v>139</v>
      </c>
      <c r="L20" s="17"/>
      <c r="M20" s="17"/>
      <c r="N20" s="17"/>
      <c r="O20" s="17"/>
      <c r="P20" s="17"/>
      <c r="Q20" s="17"/>
      <c r="R20" s="330"/>
      <c r="S20" s="17"/>
      <c r="T20" s="17"/>
      <c r="U20" s="17"/>
      <c r="V20" s="17"/>
      <c r="W20" s="17"/>
      <c r="X20" s="17"/>
      <c r="Y20" s="17"/>
      <c r="Z20" s="54"/>
    </row>
    <row r="21" spans="2:26" ht="19.5" customHeight="1" x14ac:dyDescent="0.25">
      <c r="B21" s="53"/>
      <c r="C21" s="136"/>
      <c r="D21" s="333"/>
      <c r="E21" s="17"/>
      <c r="F21" s="17"/>
      <c r="G21" s="333"/>
      <c r="H21" s="333"/>
      <c r="I21" s="333"/>
      <c r="J21" s="198"/>
      <c r="K21" s="198"/>
      <c r="L21" s="17"/>
      <c r="M21" s="17"/>
      <c r="N21" s="17"/>
      <c r="O21" s="330"/>
      <c r="P21" s="330"/>
      <c r="Q21" s="330"/>
      <c r="R21" s="17"/>
      <c r="S21" s="17"/>
      <c r="T21" s="17"/>
      <c r="U21" s="17"/>
      <c r="V21" s="17"/>
      <c r="W21" s="17"/>
      <c r="Z21" s="54"/>
    </row>
    <row r="22" spans="2:26" ht="19.5" customHeight="1" x14ac:dyDescent="0.25">
      <c r="B22" s="53"/>
      <c r="C22" s="379" t="s">
        <v>830</v>
      </c>
      <c r="D22" s="330"/>
      <c r="E22" s="17"/>
      <c r="F22" s="17"/>
      <c r="G22" s="359" t="s">
        <v>185</v>
      </c>
      <c r="H22" s="754" t="s">
        <v>182</v>
      </c>
      <c r="I22" s="755"/>
      <c r="J22" s="341"/>
      <c r="K22" s="756" t="s">
        <v>854</v>
      </c>
      <c r="L22" s="17"/>
      <c r="M22" s="19"/>
      <c r="N22" s="19"/>
      <c r="O22" s="19"/>
      <c r="P22" s="19"/>
      <c r="Q22" s="19"/>
      <c r="R22" s="19"/>
      <c r="S22" s="19"/>
      <c r="T22" s="19"/>
      <c r="U22" s="19"/>
      <c r="V22" s="17"/>
      <c r="W22" s="17"/>
      <c r="X22" s="17"/>
      <c r="Y22" s="17"/>
      <c r="Z22" s="54"/>
    </row>
    <row r="23" spans="2:26" ht="33.950000000000003" customHeight="1" x14ac:dyDescent="0.25">
      <c r="B23" s="53"/>
      <c r="C23" s="336"/>
      <c r="D23" s="331" t="s">
        <v>482</v>
      </c>
      <c r="E23" s="340" t="s">
        <v>487</v>
      </c>
      <c r="F23" s="340"/>
      <c r="G23" s="360" t="s">
        <v>184</v>
      </c>
      <c r="H23" s="358" t="s">
        <v>175</v>
      </c>
      <c r="I23" s="361" t="s">
        <v>176</v>
      </c>
      <c r="J23" s="340" t="s">
        <v>495</v>
      </c>
      <c r="K23" s="756"/>
      <c r="L23" s="17"/>
      <c r="M23" s="17"/>
      <c r="N23" s="17"/>
      <c r="O23" s="17"/>
      <c r="P23" s="752" t="s">
        <v>944</v>
      </c>
      <c r="Q23" s="752"/>
      <c r="R23" s="752"/>
      <c r="S23" s="752"/>
      <c r="T23" s="752"/>
      <c r="U23" s="752"/>
      <c r="V23" s="752"/>
      <c r="W23" s="17"/>
      <c r="X23" s="17"/>
      <c r="Y23" s="17"/>
      <c r="Z23" s="54"/>
    </row>
    <row r="24" spans="2:26" ht="19.5" customHeight="1" x14ac:dyDescent="0.25">
      <c r="B24" s="53"/>
      <c r="C24" s="336"/>
      <c r="D24" s="371" t="s">
        <v>187</v>
      </c>
      <c r="E24" s="371" t="s">
        <v>488</v>
      </c>
      <c r="F24" s="371" t="s">
        <v>522</v>
      </c>
      <c r="G24" s="372" t="s">
        <v>484</v>
      </c>
      <c r="H24" s="373" t="s">
        <v>483</v>
      </c>
      <c r="I24" s="375" t="s">
        <v>689</v>
      </c>
      <c r="J24" s="376"/>
      <c r="K24" s="757"/>
      <c r="L24" s="17"/>
      <c r="M24" s="17"/>
      <c r="N24" s="17"/>
      <c r="O24" s="330"/>
      <c r="P24" s="330"/>
      <c r="Q24" s="330"/>
      <c r="R24" s="330"/>
      <c r="S24" s="330"/>
      <c r="T24" s="330"/>
      <c r="U24" s="330"/>
      <c r="V24" s="330"/>
      <c r="W24" s="17"/>
      <c r="X24" s="17"/>
      <c r="Y24" s="17"/>
      <c r="Z24" s="54"/>
    </row>
    <row r="25" spans="2:26" ht="19.5" customHeight="1" x14ac:dyDescent="0.25">
      <c r="B25" s="53"/>
      <c r="C25" s="136" t="s">
        <v>177</v>
      </c>
      <c r="D25" s="333">
        <v>250</v>
      </c>
      <c r="E25" s="333">
        <v>50</v>
      </c>
      <c r="F25" s="333">
        <f>D25-E25-G25</f>
        <v>51</v>
      </c>
      <c r="G25" s="359">
        <v>149</v>
      </c>
      <c r="H25" s="368"/>
      <c r="I25" s="370"/>
      <c r="J25" s="198">
        <f>PI()*(G25/2000)^2</f>
        <v>1.7436624625586747E-2</v>
      </c>
      <c r="K25" s="564">
        <f>CEILING(J25*3.5*1000,1)</f>
        <v>62</v>
      </c>
      <c r="L25" s="17"/>
      <c r="M25" s="17"/>
      <c r="N25" s="17"/>
      <c r="O25" s="17"/>
      <c r="P25" s="17"/>
      <c r="Q25" s="17"/>
      <c r="R25" s="17"/>
      <c r="S25" s="17"/>
      <c r="T25" s="17"/>
      <c r="U25" s="17"/>
      <c r="V25" s="17"/>
      <c r="W25" s="17"/>
      <c r="X25" s="17"/>
      <c r="Y25" s="17"/>
      <c r="Z25" s="54"/>
    </row>
    <row r="26" spans="2:26" ht="19.5" customHeight="1" x14ac:dyDescent="0.25">
      <c r="B26" s="53"/>
      <c r="C26" s="136" t="s">
        <v>178</v>
      </c>
      <c r="D26" s="333">
        <v>250</v>
      </c>
      <c r="E26" s="333">
        <v>50</v>
      </c>
      <c r="F26" s="333">
        <f>D26-E26-H26</f>
        <v>25</v>
      </c>
      <c r="G26" s="367"/>
      <c r="H26" s="357">
        <v>175</v>
      </c>
      <c r="I26" s="362">
        <v>220</v>
      </c>
      <c r="J26" s="198">
        <v>3.0293069079278843E-2</v>
      </c>
      <c r="K26" s="564">
        <f t="shared" ref="K26:K29" si="2">CEILING(J26*3.5*1000,1)</f>
        <v>107</v>
      </c>
      <c r="L26" s="17"/>
      <c r="M26" s="17"/>
      <c r="N26" s="17"/>
      <c r="O26" s="17"/>
      <c r="P26" s="17"/>
      <c r="Q26" s="17"/>
      <c r="R26" s="17"/>
      <c r="S26" s="17"/>
      <c r="T26" s="17"/>
      <c r="U26" s="17"/>
      <c r="V26" s="17"/>
      <c r="W26" s="17"/>
      <c r="X26" s="17"/>
      <c r="Y26" s="17"/>
      <c r="Z26" s="54"/>
    </row>
    <row r="27" spans="2:26" ht="19.5" customHeight="1" x14ac:dyDescent="0.25">
      <c r="B27" s="53"/>
      <c r="C27" s="136" t="s">
        <v>2</v>
      </c>
      <c r="D27" s="333">
        <v>250</v>
      </c>
      <c r="E27" s="333">
        <v>50</v>
      </c>
      <c r="F27" s="333">
        <f t="shared" ref="F27:F29" si="3">D27-E27-H27</f>
        <v>25</v>
      </c>
      <c r="G27" s="367"/>
      <c r="H27" s="357">
        <v>175</v>
      </c>
      <c r="I27" s="362">
        <v>306</v>
      </c>
      <c r="J27" s="198">
        <v>4.199986442401181E-2</v>
      </c>
      <c r="K27" s="564">
        <f t="shared" si="2"/>
        <v>147</v>
      </c>
      <c r="L27" s="17"/>
      <c r="M27" s="17"/>
      <c r="N27" s="17"/>
      <c r="O27" s="17"/>
      <c r="P27" s="17"/>
      <c r="Q27" s="17"/>
      <c r="R27" s="17"/>
      <c r="S27" s="17"/>
      <c r="T27" s="17"/>
      <c r="U27" s="17"/>
      <c r="V27" s="17"/>
      <c r="W27" s="17"/>
      <c r="Y27" s="337" t="s">
        <v>188</v>
      </c>
      <c r="Z27" s="54"/>
    </row>
    <row r="28" spans="2:26" ht="19.5" customHeight="1" x14ac:dyDescent="0.25">
      <c r="B28" s="53"/>
      <c r="C28" s="136" t="s">
        <v>179</v>
      </c>
      <c r="D28" s="333">
        <v>250</v>
      </c>
      <c r="E28" s="333">
        <v>50</v>
      </c>
      <c r="F28" s="333">
        <f t="shared" si="3"/>
        <v>25</v>
      </c>
      <c r="G28" s="367"/>
      <c r="H28" s="357">
        <v>175</v>
      </c>
      <c r="I28" s="362">
        <v>385</v>
      </c>
      <c r="J28" s="198">
        <v>5.2907632585179859E-2</v>
      </c>
      <c r="K28" s="564">
        <f t="shared" si="2"/>
        <v>186</v>
      </c>
      <c r="L28" s="17"/>
      <c r="M28" s="17"/>
      <c r="N28" s="17"/>
      <c r="O28" s="17"/>
      <c r="P28" s="17"/>
      <c r="Q28" s="17"/>
      <c r="R28" s="17"/>
      <c r="S28" s="17"/>
      <c r="T28" s="17"/>
      <c r="U28" s="17"/>
      <c r="V28" s="17"/>
      <c r="W28" s="17"/>
      <c r="X28" s="17"/>
      <c r="Y28" s="17"/>
      <c r="Z28" s="54"/>
    </row>
    <row r="29" spans="2:26" ht="19.5" customHeight="1" x14ac:dyDescent="0.25">
      <c r="B29" s="53"/>
      <c r="C29" s="136" t="s">
        <v>180</v>
      </c>
      <c r="D29" s="333">
        <v>250</v>
      </c>
      <c r="E29" s="333">
        <v>50</v>
      </c>
      <c r="F29" s="333">
        <f t="shared" si="3"/>
        <v>25</v>
      </c>
      <c r="G29" s="367"/>
      <c r="H29" s="357">
        <v>175</v>
      </c>
      <c r="I29" s="362">
        <v>461</v>
      </c>
      <c r="J29" s="198">
        <v>6.3429937384810647E-2</v>
      </c>
      <c r="K29" s="564">
        <f t="shared" si="2"/>
        <v>223</v>
      </c>
      <c r="L29" s="17"/>
      <c r="M29" s="17"/>
      <c r="N29" s="17"/>
      <c r="O29" s="17"/>
      <c r="P29" s="17"/>
      <c r="Q29" s="17"/>
      <c r="R29" s="17"/>
      <c r="S29" s="17"/>
      <c r="T29" s="17"/>
      <c r="U29" s="17"/>
      <c r="V29" s="17"/>
      <c r="W29" s="17"/>
      <c r="X29" s="17"/>
      <c r="Y29" s="17"/>
      <c r="Z29" s="54"/>
    </row>
    <row r="30" spans="2:26" ht="15.75" x14ac:dyDescent="0.25">
      <c r="B30" s="53"/>
      <c r="C30" s="17"/>
      <c r="D30" s="123"/>
      <c r="E30" s="17"/>
      <c r="F30" s="17"/>
      <c r="G30" s="17"/>
      <c r="H30" s="17"/>
      <c r="I30" s="17"/>
      <c r="J30" s="198"/>
      <c r="K30" s="198"/>
      <c r="L30" s="17"/>
      <c r="M30" s="17"/>
      <c r="N30" s="17"/>
      <c r="O30" s="17"/>
      <c r="P30" s="17"/>
      <c r="Q30" s="17"/>
      <c r="R30" s="17"/>
      <c r="S30" s="17"/>
      <c r="T30" s="17"/>
      <c r="U30" s="17"/>
      <c r="V30" s="17"/>
      <c r="W30" s="17"/>
      <c r="X30" s="17"/>
      <c r="Y30" s="17"/>
      <c r="Z30" s="54"/>
    </row>
    <row r="31" spans="2:26" ht="19.5" customHeight="1" x14ac:dyDescent="0.25">
      <c r="B31" s="53"/>
      <c r="C31" s="379" t="s">
        <v>829</v>
      </c>
      <c r="D31" s="330"/>
      <c r="E31" s="17"/>
      <c r="F31" s="17"/>
      <c r="G31" s="359" t="s">
        <v>185</v>
      </c>
      <c r="H31" s="754" t="s">
        <v>182</v>
      </c>
      <c r="I31" s="755"/>
      <c r="J31" s="198"/>
      <c r="K31" s="756" t="s">
        <v>854</v>
      </c>
      <c r="L31" s="17"/>
      <c r="M31" s="17"/>
      <c r="N31" s="17"/>
      <c r="O31" s="17"/>
      <c r="P31" s="17"/>
      <c r="Q31" s="17"/>
      <c r="R31" s="17"/>
      <c r="S31" s="17"/>
      <c r="T31" s="17"/>
      <c r="U31" s="17"/>
      <c r="V31" s="17"/>
      <c r="W31" s="17"/>
      <c r="X31" s="17"/>
      <c r="Y31" s="17"/>
      <c r="Z31" s="54"/>
    </row>
    <row r="32" spans="2:26" ht="33.950000000000003" customHeight="1" x14ac:dyDescent="0.25">
      <c r="B32" s="53"/>
      <c r="C32" s="332"/>
      <c r="D32" s="331" t="s">
        <v>482</v>
      </c>
      <c r="E32" s="340" t="s">
        <v>487</v>
      </c>
      <c r="F32" s="340"/>
      <c r="G32" s="360" t="s">
        <v>184</v>
      </c>
      <c r="H32" s="358" t="s">
        <v>175</v>
      </c>
      <c r="I32" s="361" t="s">
        <v>176</v>
      </c>
      <c r="J32" s="340" t="s">
        <v>495</v>
      </c>
      <c r="K32" s="756"/>
      <c r="L32" s="17"/>
      <c r="M32" s="17"/>
      <c r="N32" s="17"/>
      <c r="O32" s="17"/>
      <c r="P32" s="17"/>
      <c r="Q32" s="17"/>
      <c r="R32" s="17"/>
      <c r="S32" s="17"/>
      <c r="T32" s="17"/>
      <c r="U32" s="17"/>
      <c r="V32" s="17"/>
      <c r="W32" s="17"/>
      <c r="X32" s="17"/>
      <c r="Y32" s="17"/>
      <c r="Z32" s="54"/>
    </row>
    <row r="33" spans="2:26" ht="19.5" customHeight="1" x14ac:dyDescent="0.25">
      <c r="B33" s="53"/>
      <c r="C33" s="136"/>
      <c r="D33" s="371" t="s">
        <v>187</v>
      </c>
      <c r="E33" s="371" t="s">
        <v>488</v>
      </c>
      <c r="F33" s="371" t="s">
        <v>522</v>
      </c>
      <c r="G33" s="372" t="s">
        <v>484</v>
      </c>
      <c r="H33" s="373" t="s">
        <v>483</v>
      </c>
      <c r="I33" s="375" t="s">
        <v>689</v>
      </c>
      <c r="J33" s="376"/>
      <c r="K33" s="757"/>
      <c r="L33" s="17"/>
      <c r="M33" s="17"/>
      <c r="N33" s="17"/>
      <c r="O33" s="17"/>
      <c r="P33" s="17"/>
      <c r="Q33" s="17"/>
      <c r="R33" s="17"/>
      <c r="S33" s="17"/>
      <c r="T33" s="17"/>
      <c r="U33" s="17"/>
      <c r="V33" s="17"/>
      <c r="W33" s="17"/>
      <c r="X33" s="17"/>
      <c r="Y33" s="17"/>
      <c r="Z33" s="54"/>
    </row>
    <row r="34" spans="2:26" ht="19.5" customHeight="1" x14ac:dyDescent="0.25">
      <c r="B34" s="53"/>
      <c r="C34" s="136" t="s">
        <v>177</v>
      </c>
      <c r="D34" s="333">
        <v>350</v>
      </c>
      <c r="E34" s="333">
        <v>50</v>
      </c>
      <c r="F34" s="333">
        <f>D34-E34-G34</f>
        <v>151</v>
      </c>
      <c r="G34" s="359">
        <v>149</v>
      </c>
      <c r="H34" s="368"/>
      <c r="I34" s="378"/>
      <c r="J34" s="198">
        <v>1.7436624625586747E-2</v>
      </c>
      <c r="K34" s="564">
        <f>CEILING(J34*3.5*1000,1)</f>
        <v>62</v>
      </c>
      <c r="L34" s="17"/>
      <c r="M34" s="17"/>
      <c r="N34" s="17"/>
      <c r="O34" s="17"/>
      <c r="P34" s="17"/>
      <c r="Q34" s="17"/>
      <c r="R34" s="17"/>
      <c r="S34" s="17"/>
      <c r="T34" s="17"/>
      <c r="U34" s="17"/>
      <c r="V34" s="17"/>
      <c r="W34" s="17"/>
      <c r="X34" s="17"/>
      <c r="Y34" s="17"/>
      <c r="Z34" s="54"/>
    </row>
    <row r="35" spans="2:26" ht="19.5" customHeight="1" x14ac:dyDescent="0.25">
      <c r="B35" s="53"/>
      <c r="C35" s="136" t="s">
        <v>178</v>
      </c>
      <c r="D35" s="333">
        <v>350</v>
      </c>
      <c r="E35" s="333">
        <v>50</v>
      </c>
      <c r="F35" s="333">
        <f>D35-E35-G35</f>
        <v>101</v>
      </c>
      <c r="G35" s="359">
        <v>199</v>
      </c>
      <c r="H35" s="368"/>
      <c r="I35" s="378"/>
      <c r="J35" s="198">
        <v>3.1102552668702352E-2</v>
      </c>
      <c r="K35" s="564">
        <f t="shared" ref="K35:K37" si="4">CEILING(J35*3.5*1000,1)</f>
        <v>109</v>
      </c>
      <c r="L35" s="17"/>
      <c r="M35" s="17"/>
      <c r="N35" s="17"/>
      <c r="O35" s="17"/>
      <c r="P35" s="752" t="s">
        <v>182</v>
      </c>
      <c r="Q35" s="752"/>
      <c r="R35" s="752"/>
      <c r="S35" s="752"/>
      <c r="T35" s="752"/>
      <c r="U35" s="752"/>
      <c r="V35" s="752"/>
      <c r="W35" s="17"/>
      <c r="X35" s="17"/>
      <c r="Y35" s="17"/>
      <c r="Z35" s="54"/>
    </row>
    <row r="36" spans="2:26" ht="19.5" customHeight="1" x14ac:dyDescent="0.25">
      <c r="B36" s="53"/>
      <c r="C36" s="136" t="s">
        <v>2</v>
      </c>
      <c r="D36" s="333">
        <v>350</v>
      </c>
      <c r="E36" s="333">
        <v>50</v>
      </c>
      <c r="F36" s="333">
        <f>D36-E36-G36</f>
        <v>51</v>
      </c>
      <c r="G36" s="359">
        <v>249</v>
      </c>
      <c r="H36" s="368"/>
      <c r="I36" s="378"/>
      <c r="J36" s="198">
        <v>4.8695471528805191E-2</v>
      </c>
      <c r="K36" s="564">
        <f t="shared" si="4"/>
        <v>171</v>
      </c>
      <c r="L36" s="17"/>
      <c r="M36" s="17"/>
      <c r="N36" s="17"/>
      <c r="O36" s="330"/>
      <c r="P36" s="752"/>
      <c r="Q36" s="752"/>
      <c r="R36" s="752"/>
      <c r="S36" s="752"/>
      <c r="T36" s="752"/>
      <c r="U36" s="752"/>
      <c r="V36" s="752"/>
      <c r="W36" s="17"/>
      <c r="X36" s="17"/>
      <c r="Y36" s="17"/>
      <c r="Z36" s="54"/>
    </row>
    <row r="37" spans="2:26" ht="19.5" customHeight="1" x14ac:dyDescent="0.25">
      <c r="B37" s="53"/>
      <c r="C37" s="136" t="s">
        <v>179</v>
      </c>
      <c r="D37" s="333">
        <v>350</v>
      </c>
      <c r="E37" s="333">
        <v>50</v>
      </c>
      <c r="F37" s="333">
        <f t="shared" ref="F37" si="5">D37-E37-H37</f>
        <v>50</v>
      </c>
      <c r="G37" s="367"/>
      <c r="H37" s="357">
        <v>250</v>
      </c>
      <c r="I37" s="365">
        <v>341</v>
      </c>
      <c r="J37" s="198">
        <v>6.6961239110290713E-2</v>
      </c>
      <c r="K37" s="564">
        <f t="shared" si="4"/>
        <v>235</v>
      </c>
      <c r="L37" s="17"/>
      <c r="M37" s="17"/>
      <c r="N37" s="17"/>
      <c r="O37" s="17"/>
      <c r="P37" s="17"/>
      <c r="Q37" s="17"/>
      <c r="R37" s="17"/>
      <c r="S37" s="17"/>
      <c r="T37" s="17"/>
      <c r="U37" s="17"/>
      <c r="V37" s="17"/>
      <c r="W37" s="17"/>
      <c r="X37" s="17"/>
      <c r="Y37" s="17"/>
      <c r="Z37" s="54"/>
    </row>
    <row r="38" spans="2:26" ht="19.5" customHeight="1" x14ac:dyDescent="0.25">
      <c r="B38" s="53"/>
      <c r="C38" s="136" t="s">
        <v>180</v>
      </c>
      <c r="D38" s="333">
        <v>350</v>
      </c>
      <c r="E38" s="333">
        <v>50</v>
      </c>
      <c r="F38" s="333">
        <f>D38-E38-H38</f>
        <v>50</v>
      </c>
      <c r="G38" s="367"/>
      <c r="H38" s="357">
        <v>250</v>
      </c>
      <c r="I38" s="362">
        <v>426</v>
      </c>
      <c r="J38" s="198">
        <v>8.35586689530851E-2</v>
      </c>
      <c r="K38" s="564">
        <f>CEILING(J38*3.5*1000,1)</f>
        <v>293</v>
      </c>
      <c r="L38" s="17"/>
      <c r="M38" s="17"/>
      <c r="N38" s="17"/>
      <c r="O38" s="17"/>
      <c r="P38" s="17"/>
      <c r="Q38" s="17"/>
      <c r="R38" s="17"/>
      <c r="S38" s="17"/>
      <c r="T38" s="17"/>
      <c r="U38" s="17"/>
      <c r="V38" s="17"/>
      <c r="W38" s="17"/>
      <c r="X38" s="17"/>
      <c r="Y38" s="17"/>
      <c r="Z38" s="54"/>
    </row>
    <row r="39" spans="2:26" ht="19.5" customHeight="1" x14ac:dyDescent="0.25">
      <c r="B39" s="53"/>
      <c r="C39" s="136"/>
      <c r="D39" s="136"/>
      <c r="E39" s="136"/>
      <c r="F39" s="136"/>
      <c r="G39" s="136"/>
      <c r="H39" s="136"/>
      <c r="I39" s="136"/>
      <c r="J39" s="136"/>
      <c r="K39" s="136"/>
      <c r="L39" s="17"/>
      <c r="M39" s="17"/>
      <c r="N39" s="17"/>
      <c r="O39" s="17"/>
      <c r="P39" s="17"/>
      <c r="Q39" s="17"/>
      <c r="R39" s="17"/>
      <c r="S39" s="17"/>
      <c r="T39" s="17"/>
      <c r="U39" s="17"/>
      <c r="V39" s="17"/>
      <c r="W39" s="17"/>
      <c r="X39" s="17"/>
      <c r="Y39" s="17"/>
      <c r="Z39" s="54"/>
    </row>
    <row r="40" spans="2:26" ht="19.5" customHeight="1" x14ac:dyDescent="0.25">
      <c r="B40" s="53"/>
      <c r="C40" s="136"/>
      <c r="D40" s="136"/>
      <c r="E40" s="136"/>
      <c r="F40" s="136"/>
      <c r="G40" s="136"/>
      <c r="H40" s="136"/>
      <c r="I40" s="136"/>
      <c r="J40" s="136"/>
      <c r="K40" s="136"/>
      <c r="L40" s="17"/>
      <c r="M40" s="17"/>
      <c r="N40" s="17"/>
      <c r="O40" s="17"/>
      <c r="P40" s="17"/>
      <c r="Q40" s="17"/>
      <c r="R40" s="17"/>
      <c r="S40" s="17"/>
      <c r="T40" s="17"/>
      <c r="U40" s="17"/>
      <c r="V40" s="17"/>
      <c r="W40" s="17"/>
      <c r="X40" s="17"/>
      <c r="Y40" s="17"/>
      <c r="Z40" s="54"/>
    </row>
    <row r="41" spans="2:26" ht="19.5" customHeight="1" x14ac:dyDescent="0.25">
      <c r="B41" s="53"/>
      <c r="C41" s="136"/>
      <c r="D41" s="136"/>
      <c r="E41" s="136"/>
      <c r="F41" s="136"/>
      <c r="G41" s="136"/>
      <c r="H41" s="136"/>
      <c r="I41" s="136"/>
      <c r="J41" s="136"/>
      <c r="K41" s="136"/>
      <c r="L41" s="17"/>
      <c r="M41" s="17"/>
      <c r="N41" s="17"/>
      <c r="O41" s="17"/>
      <c r="P41" s="17"/>
      <c r="Q41" s="17"/>
      <c r="R41" s="17"/>
      <c r="S41" s="17"/>
      <c r="T41" s="17"/>
      <c r="U41" s="17"/>
      <c r="V41" s="17"/>
      <c r="W41" s="17"/>
      <c r="X41" s="17"/>
      <c r="Y41" s="17"/>
      <c r="Z41" s="54"/>
    </row>
    <row r="42" spans="2:26" ht="19.5" customHeight="1" x14ac:dyDescent="0.25">
      <c r="B42" s="53"/>
      <c r="C42" s="136"/>
      <c r="D42" s="136"/>
      <c r="E42" s="136"/>
      <c r="F42" s="136"/>
      <c r="G42" s="136"/>
      <c r="H42" s="136"/>
      <c r="I42" s="136"/>
      <c r="J42" s="136"/>
      <c r="K42" s="136"/>
      <c r="L42" s="17"/>
      <c r="M42" s="17"/>
      <c r="N42" s="17"/>
      <c r="O42" s="17"/>
      <c r="P42" s="17"/>
      <c r="Q42" s="17"/>
      <c r="R42" s="17"/>
      <c r="S42" s="17"/>
      <c r="T42" s="17"/>
      <c r="U42" s="17"/>
      <c r="V42" s="17"/>
      <c r="W42" s="17"/>
      <c r="X42" s="17"/>
      <c r="Y42" s="17"/>
      <c r="Z42" s="54"/>
    </row>
    <row r="43" spans="2:26" ht="19.5" customHeight="1" x14ac:dyDescent="0.25">
      <c r="B43" s="53"/>
      <c r="C43" s="136"/>
      <c r="D43" s="136"/>
      <c r="E43" s="136"/>
      <c r="F43" s="136"/>
      <c r="G43" s="136"/>
      <c r="H43" s="136"/>
      <c r="I43" s="136"/>
      <c r="J43" s="136"/>
      <c r="K43" s="136"/>
      <c r="L43" s="17"/>
      <c r="M43" s="17"/>
      <c r="N43" s="17"/>
      <c r="O43" s="17"/>
      <c r="P43" s="17"/>
      <c r="Q43" s="17"/>
      <c r="R43" s="17"/>
      <c r="S43" s="17"/>
      <c r="T43" s="17"/>
      <c r="U43" s="17"/>
      <c r="V43" s="17"/>
      <c r="W43" s="17"/>
      <c r="X43" s="17"/>
      <c r="Y43" s="17"/>
      <c r="Z43" s="54"/>
    </row>
    <row r="44" spans="2:26" ht="19.5" customHeight="1" x14ac:dyDescent="0.25">
      <c r="B44" s="53"/>
      <c r="C44" s="136"/>
      <c r="D44" s="136"/>
      <c r="E44" s="136"/>
      <c r="F44" s="136"/>
      <c r="G44" s="136"/>
      <c r="H44" s="136"/>
      <c r="I44" s="136"/>
      <c r="J44" s="136"/>
      <c r="K44" s="136"/>
      <c r="L44" s="17"/>
      <c r="M44" s="17"/>
      <c r="N44" s="17"/>
      <c r="O44" s="17"/>
      <c r="P44" s="17"/>
      <c r="Q44" s="17"/>
      <c r="R44" s="17"/>
      <c r="S44" s="17"/>
      <c r="T44" s="17"/>
      <c r="U44" s="17"/>
      <c r="V44" s="17"/>
      <c r="W44" s="17"/>
      <c r="X44" s="17"/>
      <c r="Y44" s="17"/>
      <c r="Z44" s="54"/>
    </row>
    <row r="45" spans="2:26" ht="19.5" customHeight="1" x14ac:dyDescent="0.25">
      <c r="B45" s="53"/>
      <c r="C45" s="136"/>
      <c r="D45" s="136"/>
      <c r="E45" s="136"/>
      <c r="F45" s="136"/>
      <c r="G45" s="136"/>
      <c r="H45" s="136"/>
      <c r="I45" s="136"/>
      <c r="J45" s="136"/>
      <c r="K45" s="136"/>
      <c r="L45" s="17"/>
      <c r="M45" s="17"/>
      <c r="N45" s="17"/>
      <c r="O45" s="17"/>
      <c r="P45" s="17"/>
      <c r="Q45" s="17"/>
      <c r="R45" s="17"/>
      <c r="S45" s="17"/>
      <c r="T45" s="17"/>
      <c r="U45" s="17"/>
      <c r="V45" s="17"/>
      <c r="W45" s="17"/>
      <c r="X45" s="17"/>
      <c r="Y45" s="17"/>
      <c r="Z45" s="54"/>
    </row>
    <row r="46" spans="2:26" ht="19.5" customHeight="1" x14ac:dyDescent="0.25">
      <c r="B46" s="53"/>
      <c r="C46" s="136"/>
      <c r="D46" s="136"/>
      <c r="E46" s="136"/>
      <c r="F46" s="136"/>
      <c r="G46" s="136"/>
      <c r="H46" s="136"/>
      <c r="I46" s="136"/>
      <c r="J46" s="136"/>
      <c r="K46" s="136"/>
      <c r="L46" s="17"/>
      <c r="M46" s="17"/>
      <c r="N46" s="17"/>
      <c r="O46" s="17"/>
      <c r="P46" s="17"/>
      <c r="Q46" s="17"/>
      <c r="R46" s="17"/>
      <c r="S46" s="17"/>
      <c r="T46" s="17"/>
      <c r="U46" s="17"/>
      <c r="V46" s="17"/>
      <c r="W46" s="17"/>
      <c r="X46" s="17"/>
      <c r="Y46" s="17"/>
      <c r="Z46" s="54"/>
    </row>
    <row r="47" spans="2:26" ht="19.5" customHeight="1" x14ac:dyDescent="0.25">
      <c r="B47" s="53"/>
      <c r="C47" s="136"/>
      <c r="D47" s="136"/>
      <c r="E47" s="136"/>
      <c r="F47" s="136"/>
      <c r="G47" s="136"/>
      <c r="H47" s="136"/>
      <c r="I47" s="136"/>
      <c r="J47" s="136"/>
      <c r="K47" s="136"/>
      <c r="L47" s="17"/>
      <c r="M47" s="17"/>
      <c r="N47" s="17"/>
      <c r="O47" s="17"/>
      <c r="P47" s="17"/>
      <c r="Q47" s="17"/>
      <c r="R47" s="17"/>
      <c r="S47" s="17"/>
      <c r="T47" s="17"/>
      <c r="U47" s="17"/>
      <c r="V47" s="17"/>
      <c r="W47" s="17"/>
      <c r="X47" s="17"/>
      <c r="Y47" s="17"/>
      <c r="Z47" s="54"/>
    </row>
    <row r="48" spans="2:26" ht="19.5" customHeight="1" x14ac:dyDescent="0.25">
      <c r="B48" s="53"/>
      <c r="C48" s="136"/>
      <c r="D48" s="136"/>
      <c r="E48" s="136"/>
      <c r="F48" s="136"/>
      <c r="G48" s="136"/>
      <c r="H48" s="136"/>
      <c r="I48" s="136"/>
      <c r="J48" s="136"/>
      <c r="K48" s="136"/>
      <c r="L48" s="17"/>
      <c r="M48" s="17"/>
      <c r="N48" s="17"/>
      <c r="O48" s="17"/>
      <c r="P48" s="17"/>
      <c r="Q48" s="17"/>
      <c r="R48" s="17"/>
      <c r="S48" s="17"/>
      <c r="T48" s="17"/>
      <c r="U48" s="17"/>
      <c r="V48" s="17"/>
      <c r="W48" s="17"/>
      <c r="X48" s="17"/>
      <c r="Y48" s="17"/>
      <c r="Z48" s="54"/>
    </row>
    <row r="49" spans="2:26" ht="19.5" customHeight="1" x14ac:dyDescent="0.25">
      <c r="B49" s="53"/>
      <c r="C49" s="136"/>
      <c r="D49" s="136"/>
      <c r="E49" s="136"/>
      <c r="F49" s="136"/>
      <c r="G49" s="136"/>
      <c r="H49" s="136"/>
      <c r="I49" s="136"/>
      <c r="J49" s="136"/>
      <c r="K49" s="136"/>
      <c r="L49" s="17"/>
      <c r="M49" s="17"/>
      <c r="N49" s="17"/>
      <c r="O49" s="17"/>
      <c r="P49" s="17"/>
      <c r="Q49" s="17"/>
      <c r="R49" s="17"/>
      <c r="S49" s="17"/>
      <c r="T49" s="17"/>
      <c r="U49" s="17"/>
      <c r="V49" s="17"/>
      <c r="W49" s="17"/>
      <c r="X49" s="17"/>
      <c r="Y49" s="17"/>
      <c r="Z49" s="54"/>
    </row>
    <row r="50" spans="2:26" ht="19.5" customHeight="1" x14ac:dyDescent="0.25">
      <c r="B50" s="53"/>
      <c r="C50" s="136"/>
      <c r="D50" s="136"/>
      <c r="E50" s="136"/>
      <c r="F50" s="136"/>
      <c r="G50" s="136"/>
      <c r="H50" s="136"/>
      <c r="I50" s="136"/>
      <c r="J50" s="136"/>
      <c r="K50" s="136"/>
      <c r="L50" s="17"/>
      <c r="M50" s="17"/>
      <c r="N50" s="17"/>
      <c r="O50" s="17"/>
      <c r="P50" s="17"/>
      <c r="Q50" s="17"/>
      <c r="R50" s="17"/>
      <c r="S50" s="17"/>
      <c r="T50" s="17"/>
      <c r="U50" s="17"/>
      <c r="V50" s="17"/>
      <c r="W50" s="17"/>
      <c r="X50" s="17"/>
      <c r="Y50" s="17"/>
      <c r="Z50" s="54"/>
    </row>
    <row r="51" spans="2:26" ht="19.5" customHeight="1" x14ac:dyDescent="0.25">
      <c r="B51" s="53"/>
      <c r="C51" s="136"/>
      <c r="D51" s="333"/>
      <c r="E51" s="333"/>
      <c r="F51" s="333"/>
      <c r="G51" s="333"/>
      <c r="H51" s="333"/>
      <c r="I51" s="333"/>
      <c r="J51" s="198"/>
      <c r="K51" s="564"/>
      <c r="L51" s="17"/>
      <c r="M51" s="17"/>
      <c r="N51" s="752" t="s">
        <v>550</v>
      </c>
      <c r="O51" s="752"/>
      <c r="P51" s="752"/>
      <c r="Q51" s="752"/>
      <c r="R51" s="17"/>
      <c r="S51" s="17"/>
      <c r="T51" s="17"/>
      <c r="U51" s="17"/>
      <c r="V51" s="17"/>
      <c r="W51" s="17"/>
      <c r="X51" s="17"/>
      <c r="Y51" s="17"/>
      <c r="Z51" s="54"/>
    </row>
    <row r="52" spans="2:26" ht="19.5" customHeight="1" x14ac:dyDescent="0.25">
      <c r="B52" s="53"/>
      <c r="C52" s="136"/>
      <c r="D52" s="333"/>
      <c r="E52" s="333"/>
      <c r="F52" s="333"/>
      <c r="G52" s="333"/>
      <c r="H52" s="333"/>
      <c r="I52" s="333"/>
      <c r="J52" s="198"/>
      <c r="K52" s="564"/>
      <c r="L52" s="17"/>
      <c r="M52" s="17"/>
      <c r="N52" s="752"/>
      <c r="O52" s="752"/>
      <c r="P52" s="752"/>
      <c r="Q52" s="752"/>
      <c r="R52" s="17"/>
      <c r="S52" s="17"/>
      <c r="T52" s="17"/>
      <c r="U52" s="17"/>
      <c r="V52" s="17"/>
      <c r="W52" s="17"/>
      <c r="X52" s="17"/>
      <c r="Y52" s="17"/>
      <c r="Z52" s="54"/>
    </row>
    <row r="53" spans="2:26" ht="19.5" customHeight="1" x14ac:dyDescent="0.25">
      <c r="B53" s="53"/>
      <c r="C53" s="136"/>
      <c r="D53" s="333"/>
      <c r="E53" s="333"/>
      <c r="F53" s="333"/>
      <c r="G53" s="333"/>
      <c r="H53" s="333"/>
      <c r="I53" s="333"/>
      <c r="J53" s="198"/>
      <c r="K53" s="17"/>
      <c r="L53" s="17"/>
      <c r="M53" s="17"/>
      <c r="N53" s="17"/>
      <c r="O53" s="17"/>
      <c r="P53" s="17"/>
      <c r="Q53" s="17"/>
      <c r="R53" s="17"/>
      <c r="S53" s="17"/>
      <c r="T53" s="17"/>
      <c r="U53" s="17"/>
      <c r="V53" s="17"/>
      <c r="W53" s="17"/>
      <c r="X53" s="17"/>
      <c r="Y53" s="17"/>
      <c r="Z53" s="54"/>
    </row>
    <row r="54" spans="2:26" ht="19.5" customHeight="1" x14ac:dyDescent="0.25">
      <c r="B54" s="55"/>
      <c r="C54" s="56"/>
      <c r="D54" s="56"/>
      <c r="E54" s="56"/>
      <c r="F54" s="56"/>
      <c r="G54" s="56"/>
      <c r="H54" s="56"/>
      <c r="I54" s="56"/>
      <c r="J54" s="56"/>
      <c r="K54" s="56"/>
      <c r="L54" s="56"/>
      <c r="M54" s="56"/>
      <c r="N54" s="56"/>
      <c r="O54" s="56"/>
      <c r="P54" s="56"/>
      <c r="Q54" s="56"/>
      <c r="R54" s="56"/>
      <c r="S54" s="56"/>
      <c r="T54" s="56"/>
      <c r="U54" s="56"/>
      <c r="V54" s="56"/>
      <c r="W54" s="56"/>
      <c r="X54" s="56"/>
      <c r="Y54" s="56"/>
      <c r="Z54" s="57"/>
    </row>
    <row r="55" spans="2:26" ht="14.65" customHeight="1" x14ac:dyDescent="0.25"/>
    <row r="57" spans="2:26" ht="17.649999999999999" customHeight="1" x14ac:dyDescent="0.25"/>
  </sheetData>
  <sheetProtection algorithmName="SHA-512" hashValue="cR6rLizD/llPps9oXDOZjN3UNPUF4zDWBmDI7Bvbsg5uPnmo5kJ9Co/jqSFSWPmqiGjAdPKESuhn1Sjt+TRsTg==" saltValue="n42uIG14Y9acubEPsF6jOg==" spinCount="100000" sheet="1" objects="1" selectLockedCells="1"/>
  <sortState xmlns:xlrd2="http://schemas.microsoft.com/office/spreadsheetml/2017/richdata2" ref="N59:O67">
    <sortCondition ref="O59:O67"/>
  </sortState>
  <mergeCells count="10">
    <mergeCell ref="P23:V23"/>
    <mergeCell ref="P35:V36"/>
    <mergeCell ref="N51:Q52"/>
    <mergeCell ref="C6:N8"/>
    <mergeCell ref="H22:I22"/>
    <mergeCell ref="H31:I31"/>
    <mergeCell ref="K22:K24"/>
    <mergeCell ref="K31:K33"/>
    <mergeCell ref="K14:K16"/>
    <mergeCell ref="H14:I1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8194" r:id="rId4">
          <objectPr defaultSize="0" autoPict="0" r:id="rId5">
            <anchor moveWithCells="1">
              <from>
                <xdr:col>12</xdr:col>
                <xdr:colOff>219075</xdr:colOff>
                <xdr:row>12</xdr:row>
                <xdr:rowOff>76200</xdr:rowOff>
              </from>
              <to>
                <xdr:col>25</xdr:col>
                <xdr:colOff>0</xdr:colOff>
                <xdr:row>22</xdr:row>
                <xdr:rowOff>28575</xdr:rowOff>
              </to>
            </anchor>
          </objectPr>
        </oleObject>
      </mc:Choice>
      <mc:Fallback>
        <oleObject progId="Visio.Drawing.15" shapeId="8194" r:id="rId4"/>
      </mc:Fallback>
    </mc:AlternateContent>
    <mc:AlternateContent xmlns:mc="http://schemas.openxmlformats.org/markup-compatibility/2006">
      <mc:Choice Requires="x14">
        <oleObject progId="Visio.Drawing.15" shapeId="8198" r:id="rId6">
          <objectPr defaultSize="0" autoPict="0" r:id="rId7">
            <anchor moveWithCells="1">
              <from>
                <xdr:col>12</xdr:col>
                <xdr:colOff>200025</xdr:colOff>
                <xdr:row>23</xdr:row>
                <xdr:rowOff>190500</xdr:rowOff>
              </from>
              <to>
                <xdr:col>24</xdr:col>
                <xdr:colOff>666750</xdr:colOff>
                <xdr:row>33</xdr:row>
                <xdr:rowOff>190500</xdr:rowOff>
              </to>
            </anchor>
          </objectPr>
        </oleObject>
      </mc:Choice>
      <mc:Fallback>
        <oleObject progId="Visio.Drawing.15" shapeId="8198" r:id="rId6"/>
      </mc:Fallback>
    </mc:AlternateContent>
    <mc:AlternateContent xmlns:mc="http://schemas.openxmlformats.org/markup-compatibility/2006">
      <mc:Choice Requires="x14">
        <oleObject progId="Visio.Drawing.15" shapeId="8199" r:id="rId8">
          <objectPr defaultSize="0" autoPict="0" r:id="rId9">
            <anchor moveWithCells="1">
              <from>
                <xdr:col>12</xdr:col>
                <xdr:colOff>171450</xdr:colOff>
                <xdr:row>36</xdr:row>
                <xdr:rowOff>57150</xdr:rowOff>
              </from>
              <to>
                <xdr:col>18</xdr:col>
                <xdr:colOff>19050</xdr:colOff>
                <xdr:row>50</xdr:row>
                <xdr:rowOff>38100</xdr:rowOff>
              </to>
            </anchor>
          </objectPr>
        </oleObject>
      </mc:Choice>
      <mc:Fallback>
        <oleObject progId="Visio.Drawing.15" shapeId="8199" r:id="rId8"/>
      </mc:Fallback>
    </mc:AlternateContent>
  </oleObjects>
  <mc:AlternateContent xmlns:mc="http://schemas.openxmlformats.org/markup-compatibility/2006">
    <mc:Choice Requires="x14">
      <controls>
        <mc:AlternateContent xmlns:mc="http://schemas.openxmlformats.org/markup-compatibility/2006">
          <mc:Choice Requires="x14">
            <control shapeId="8193" r:id="rId10" name="Group Box 1">
              <controlPr defaultSize="0" autoFill="0" autoPict="0">
                <anchor moveWithCells="1">
                  <from>
                    <xdr:col>1</xdr:col>
                    <xdr:colOff>133350</xdr:colOff>
                    <xdr:row>10</xdr:row>
                    <xdr:rowOff>76200</xdr:rowOff>
                  </from>
                  <to>
                    <xdr:col>22</xdr:col>
                    <xdr:colOff>561975</xdr:colOff>
                    <xdr:row>20</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38B00-7901-4CFA-A961-023139AF8E41}">
  <dimension ref="B1:X45"/>
  <sheetViews>
    <sheetView topLeftCell="A7" zoomScaleNormal="100" workbookViewId="0">
      <selection activeCell="L29" sqref="L29"/>
    </sheetView>
  </sheetViews>
  <sheetFormatPr defaultRowHeight="15" x14ac:dyDescent="0.25"/>
  <cols>
    <col min="1" max="2" width="3.5703125" customWidth="1"/>
    <col min="3" max="3" width="17.5703125" customWidth="1"/>
    <col min="4" max="6" width="10.5703125" customWidth="1"/>
    <col min="7" max="7" width="13" customWidth="1"/>
    <col min="8" max="8" width="12.7109375" customWidth="1"/>
    <col min="9" max="9" width="14.28515625" customWidth="1"/>
    <col min="10" max="10" width="18.5703125" customWidth="1"/>
    <col min="11" max="23" width="10.5703125" customWidth="1"/>
    <col min="24" max="24" width="38.5703125" customWidth="1"/>
    <col min="25" max="25" width="10.5703125" customWidth="1"/>
    <col min="26" max="26" width="8.5703125" customWidth="1"/>
    <col min="27" max="27" width="10.5703125" customWidth="1"/>
  </cols>
  <sheetData>
    <row r="1" spans="2:24" ht="13.5" customHeight="1" x14ac:dyDescent="0.25">
      <c r="B1" s="29"/>
      <c r="C1" s="30"/>
      <c r="D1" s="30"/>
      <c r="E1" s="30"/>
      <c r="F1" s="30"/>
      <c r="G1" s="30"/>
      <c r="H1" s="30"/>
      <c r="I1" s="30"/>
      <c r="J1" s="30"/>
      <c r="K1" s="30"/>
      <c r="L1" s="30"/>
      <c r="M1" s="30"/>
      <c r="N1" s="30"/>
      <c r="O1" s="30"/>
      <c r="P1" s="30"/>
      <c r="Q1" s="30"/>
      <c r="R1" s="30"/>
      <c r="S1" s="30"/>
      <c r="T1" s="30"/>
      <c r="U1" s="30"/>
      <c r="V1" s="30"/>
      <c r="W1" s="30"/>
      <c r="X1" s="31"/>
    </row>
    <row r="2" spans="2:24" ht="21" x14ac:dyDescent="0.35">
      <c r="B2" s="32"/>
      <c r="C2" s="24" t="s">
        <v>58</v>
      </c>
      <c r="D2" s="21"/>
      <c r="E2" s="21"/>
      <c r="F2" s="21"/>
      <c r="G2" s="21"/>
      <c r="H2" s="46"/>
      <c r="I2" s="46"/>
      <c r="J2" s="46"/>
      <c r="K2" s="46"/>
      <c r="L2" s="46"/>
      <c r="M2" s="46"/>
      <c r="N2" s="46"/>
      <c r="O2" s="46"/>
      <c r="P2" s="46"/>
      <c r="Q2" s="46"/>
      <c r="R2" s="46"/>
      <c r="S2" s="46"/>
      <c r="T2" s="46"/>
      <c r="U2" s="46"/>
      <c r="V2" s="46"/>
      <c r="W2" s="46"/>
      <c r="X2" s="46"/>
    </row>
    <row r="3" spans="2:24" ht="25.5" customHeight="1" x14ac:dyDescent="0.35">
      <c r="B3" s="32"/>
      <c r="C3" s="34" t="s">
        <v>956</v>
      </c>
      <c r="D3" s="21"/>
      <c r="E3" s="21"/>
      <c r="F3" s="21"/>
      <c r="G3" s="21"/>
      <c r="H3" s="46"/>
      <c r="I3" s="46"/>
      <c r="J3" s="46"/>
      <c r="K3" s="46"/>
      <c r="L3" s="46"/>
      <c r="M3" s="46"/>
      <c r="N3" s="46"/>
      <c r="O3" s="46"/>
      <c r="P3" s="46"/>
      <c r="Q3" s="46"/>
      <c r="R3" s="46"/>
      <c r="S3" s="46"/>
      <c r="T3" s="46"/>
      <c r="U3" s="46"/>
      <c r="V3" s="46"/>
      <c r="W3" s="46"/>
      <c r="X3" s="46"/>
    </row>
    <row r="4" spans="2:24" ht="13.5" customHeight="1" x14ac:dyDescent="0.3">
      <c r="B4" s="32"/>
      <c r="C4" s="25"/>
      <c r="D4" s="21"/>
      <c r="E4" s="21"/>
      <c r="F4" s="21"/>
      <c r="G4" s="21"/>
      <c r="H4" s="21"/>
      <c r="I4" s="21"/>
      <c r="J4" s="21"/>
      <c r="K4" s="21"/>
      <c r="L4" s="21"/>
      <c r="M4" s="21"/>
      <c r="N4" s="21"/>
      <c r="O4" s="21"/>
      <c r="P4" s="21"/>
      <c r="Q4" s="21"/>
      <c r="R4" s="21"/>
      <c r="S4" s="21"/>
      <c r="T4" s="21"/>
      <c r="U4" s="21"/>
      <c r="V4" s="21"/>
      <c r="W4" s="21"/>
      <c r="X4" s="33"/>
    </row>
    <row r="5" spans="2:24" x14ac:dyDescent="0.25">
      <c r="B5" s="50"/>
      <c r="C5" s="51"/>
      <c r="D5" s="51"/>
      <c r="E5" s="51"/>
      <c r="F5" s="51"/>
      <c r="G5" s="51"/>
      <c r="H5" s="51"/>
      <c r="I5" s="51"/>
      <c r="J5" s="51"/>
      <c r="K5" s="51"/>
      <c r="L5" s="51"/>
      <c r="M5" s="51"/>
      <c r="N5" s="51"/>
      <c r="O5" s="51"/>
      <c r="P5" s="51"/>
      <c r="Q5" s="51"/>
      <c r="R5" s="51"/>
      <c r="S5" s="51"/>
      <c r="T5" s="51"/>
      <c r="U5" s="51"/>
      <c r="V5" s="51"/>
      <c r="W5" s="51"/>
      <c r="X5" s="52"/>
    </row>
    <row r="6" spans="2:24" ht="20.25" thickBot="1" x14ac:dyDescent="0.35">
      <c r="B6" s="53"/>
      <c r="C6" s="132" t="s">
        <v>955</v>
      </c>
      <c r="D6" s="132"/>
      <c r="E6" s="132"/>
      <c r="F6" s="132"/>
      <c r="G6" s="132"/>
      <c r="H6" s="132"/>
      <c r="I6" s="132"/>
      <c r="J6" s="17"/>
      <c r="K6" s="17"/>
      <c r="L6" s="17"/>
      <c r="M6" s="330"/>
      <c r="N6" s="330"/>
      <c r="O6" s="330"/>
      <c r="P6" s="330"/>
      <c r="Q6" s="330"/>
      <c r="R6" s="330"/>
      <c r="S6" s="17"/>
      <c r="T6" s="17"/>
      <c r="U6" s="17"/>
      <c r="V6" s="17"/>
      <c r="W6" s="17"/>
      <c r="X6" s="54"/>
    </row>
    <row r="7" spans="2:24" ht="15" customHeight="1" thickTop="1" x14ac:dyDescent="0.25">
      <c r="B7" s="53"/>
      <c r="C7" s="123"/>
      <c r="D7" s="17"/>
      <c r="E7" s="17"/>
      <c r="F7" s="17"/>
      <c r="G7" s="17"/>
      <c r="H7" s="17"/>
      <c r="I7" s="17"/>
      <c r="J7" s="17"/>
      <c r="K7" s="17"/>
      <c r="L7" s="17"/>
      <c r="M7" s="752"/>
      <c r="N7" s="752"/>
      <c r="O7" s="752"/>
      <c r="P7" s="752"/>
      <c r="Q7" s="752"/>
      <c r="R7" s="752"/>
      <c r="S7" s="752"/>
      <c r="T7" s="752"/>
      <c r="U7" s="17"/>
      <c r="V7" s="17"/>
      <c r="W7" s="17"/>
      <c r="X7" s="54"/>
    </row>
    <row r="8" spans="2:24" ht="15.75" customHeight="1" x14ac:dyDescent="0.25">
      <c r="B8" s="53"/>
      <c r="C8" s="336"/>
      <c r="D8" s="329"/>
      <c r="E8" s="329"/>
      <c r="F8" s="329"/>
      <c r="G8" s="329"/>
      <c r="H8" s="329"/>
      <c r="I8" s="329"/>
      <c r="J8" s="17"/>
      <c r="K8" s="330"/>
      <c r="L8" s="330"/>
      <c r="M8" s="752"/>
      <c r="N8" s="752"/>
      <c r="O8" s="752"/>
      <c r="P8" s="752"/>
      <c r="Q8" s="752"/>
      <c r="R8" s="752"/>
      <c r="S8" s="752"/>
      <c r="T8" s="752"/>
      <c r="U8" s="17"/>
      <c r="V8" s="17"/>
      <c r="W8" s="17"/>
      <c r="X8" s="54"/>
    </row>
    <row r="9" spans="2:24" ht="21" customHeight="1" x14ac:dyDescent="0.25">
      <c r="B9" s="53"/>
      <c r="C9" s="379" t="s">
        <v>829</v>
      </c>
      <c r="D9" s="330"/>
      <c r="E9" s="17"/>
      <c r="F9" s="17"/>
      <c r="G9" s="17"/>
      <c r="H9" s="333" t="s">
        <v>185</v>
      </c>
      <c r="I9" s="198"/>
      <c r="J9" s="756" t="s">
        <v>854</v>
      </c>
      <c r="K9" s="330"/>
      <c r="L9" s="17"/>
      <c r="M9" s="752"/>
      <c r="N9" s="752"/>
      <c r="O9" s="752"/>
      <c r="P9" s="752"/>
      <c r="Q9" s="752"/>
      <c r="R9" s="752"/>
      <c r="S9" s="752"/>
      <c r="T9" s="752"/>
      <c r="U9" s="17"/>
      <c r="V9" s="17"/>
      <c r="W9" s="17"/>
      <c r="X9" s="54"/>
    </row>
    <row r="10" spans="2:24" ht="33.950000000000003" customHeight="1" x14ac:dyDescent="0.25">
      <c r="B10" s="53"/>
      <c r="C10" s="332"/>
      <c r="D10" s="331" t="s">
        <v>482</v>
      </c>
      <c r="E10" s="340" t="s">
        <v>487</v>
      </c>
      <c r="F10" s="340"/>
      <c r="G10" s="340"/>
      <c r="H10" s="331" t="s">
        <v>184</v>
      </c>
      <c r="I10" s="340" t="s">
        <v>913</v>
      </c>
      <c r="J10" s="756"/>
      <c r="K10" s="330"/>
      <c r="L10" s="17"/>
      <c r="M10" s="524"/>
      <c r="N10" s="524"/>
      <c r="O10" s="524"/>
      <c r="P10" s="524"/>
      <c r="Q10" s="524"/>
      <c r="R10" s="524"/>
      <c r="S10" s="17"/>
      <c r="T10" s="17"/>
      <c r="U10" s="17"/>
      <c r="V10" s="17"/>
      <c r="W10" s="17"/>
      <c r="X10" s="54"/>
    </row>
    <row r="11" spans="2:24" ht="19.5" customHeight="1" x14ac:dyDescent="0.25">
      <c r="B11" s="53"/>
      <c r="C11" s="136"/>
      <c r="D11" s="371" t="s">
        <v>187</v>
      </c>
      <c r="E11" s="371" t="s">
        <v>488</v>
      </c>
      <c r="F11" s="371" t="s">
        <v>522</v>
      </c>
      <c r="G11" s="371" t="s">
        <v>486</v>
      </c>
      <c r="H11" s="371" t="s">
        <v>484</v>
      </c>
      <c r="I11" s="376"/>
      <c r="J11" s="757"/>
      <c r="K11" s="17"/>
      <c r="L11" s="17"/>
      <c r="M11" s="524"/>
      <c r="N11" s="524"/>
      <c r="O11" s="524"/>
      <c r="P11" s="524"/>
      <c r="Q11" s="524"/>
      <c r="R11" s="524"/>
      <c r="S11" s="17"/>
      <c r="T11" s="17"/>
      <c r="U11" s="17"/>
      <c r="V11" s="17"/>
      <c r="W11" s="17"/>
      <c r="X11" s="54"/>
    </row>
    <row r="12" spans="2:24" ht="19.5" customHeight="1" x14ac:dyDescent="0.25">
      <c r="B12" s="53"/>
      <c r="C12" s="136" t="s">
        <v>177</v>
      </c>
      <c r="D12" s="333">
        <v>250</v>
      </c>
      <c r="E12" s="758">
        <v>100</v>
      </c>
      <c r="F12" s="758">
        <v>400</v>
      </c>
      <c r="G12" s="645">
        <v>116</v>
      </c>
      <c r="H12" s="333">
        <v>149</v>
      </c>
      <c r="I12" s="198">
        <f>PI()*(H12/2000)^2</f>
        <v>1.7436624625586747E-2</v>
      </c>
      <c r="J12" s="564">
        <f>3.5*I12*1000</f>
        <v>61.028186189553615</v>
      </c>
      <c r="K12" s="17"/>
      <c r="L12" s="17"/>
      <c r="M12" s="524"/>
      <c r="N12" s="524"/>
      <c r="O12" s="524"/>
      <c r="P12" s="524"/>
      <c r="Q12" s="524"/>
      <c r="R12" s="524"/>
      <c r="S12" s="17"/>
      <c r="T12" s="17"/>
      <c r="U12" s="17"/>
      <c r="V12" s="17"/>
      <c r="W12" s="17"/>
      <c r="X12" s="54"/>
    </row>
    <row r="13" spans="2:24" ht="19.5" customHeight="1" x14ac:dyDescent="0.25">
      <c r="B13" s="53"/>
      <c r="C13" s="136" t="s">
        <v>178</v>
      </c>
      <c r="D13" s="333">
        <v>300</v>
      </c>
      <c r="E13" s="759"/>
      <c r="F13" s="759"/>
      <c r="G13" s="333">
        <v>98</v>
      </c>
      <c r="H13" s="333">
        <v>199</v>
      </c>
      <c r="I13" s="198">
        <f>PI()*(H13/2000)^2</f>
        <v>3.1102552668702352E-2</v>
      </c>
      <c r="J13" s="564">
        <f t="shared" ref="J13:J15" si="0">3.5*I13*1000</f>
        <v>108.85893434045823</v>
      </c>
      <c r="K13" s="17"/>
      <c r="L13" s="17"/>
      <c r="M13" s="524"/>
      <c r="N13" s="524"/>
      <c r="O13" s="524"/>
      <c r="P13" s="524"/>
      <c r="Q13" s="524"/>
      <c r="R13" s="524"/>
      <c r="S13" s="17"/>
      <c r="T13" s="17"/>
      <c r="U13" s="17"/>
      <c r="V13" s="17"/>
      <c r="W13" s="17"/>
      <c r="X13" s="54"/>
    </row>
    <row r="14" spans="2:24" ht="19.5" customHeight="1" x14ac:dyDescent="0.25">
      <c r="B14" s="53"/>
      <c r="C14" s="136" t="s">
        <v>2</v>
      </c>
      <c r="D14" s="333">
        <v>350</v>
      </c>
      <c r="E14" s="759"/>
      <c r="F14" s="759"/>
      <c r="G14" s="333" t="s">
        <v>942</v>
      </c>
      <c r="H14" s="333">
        <v>249</v>
      </c>
      <c r="I14" s="198">
        <f>PI()*(H14/2000)^2</f>
        <v>4.8695471528805191E-2</v>
      </c>
      <c r="J14" s="564">
        <f t="shared" si="0"/>
        <v>170.43415035081816</v>
      </c>
      <c r="K14" s="17"/>
      <c r="L14" s="17"/>
      <c r="M14" s="524"/>
      <c r="N14" s="524"/>
      <c r="O14" s="524"/>
      <c r="P14" s="524"/>
      <c r="Q14" s="524"/>
      <c r="R14" s="524"/>
      <c r="S14" s="17"/>
      <c r="T14" s="17"/>
      <c r="U14" s="17"/>
      <c r="V14" s="17"/>
      <c r="W14" s="17"/>
      <c r="X14" s="54"/>
    </row>
    <row r="15" spans="2:24" ht="19.5" customHeight="1" x14ac:dyDescent="0.25">
      <c r="B15" s="53"/>
      <c r="C15" s="136" t="s">
        <v>179</v>
      </c>
      <c r="D15" s="333">
        <v>400</v>
      </c>
      <c r="E15" s="759"/>
      <c r="F15" s="759"/>
      <c r="G15" s="333" t="s">
        <v>942</v>
      </c>
      <c r="H15" s="333">
        <v>299</v>
      </c>
      <c r="I15" s="198">
        <f>PI()*(H15/2000)^2</f>
        <v>7.0215381205895266E-2</v>
      </c>
      <c r="J15" s="564">
        <f t="shared" si="0"/>
        <v>245.75383422063342</v>
      </c>
      <c r="K15" s="17"/>
      <c r="L15" s="17"/>
      <c r="M15" s="524"/>
      <c r="N15" s="524"/>
      <c r="O15" s="524"/>
      <c r="P15" s="524"/>
      <c r="Q15" s="524"/>
      <c r="R15" s="524"/>
      <c r="S15" s="17"/>
      <c r="T15" s="17"/>
      <c r="U15" s="17"/>
      <c r="V15" s="17"/>
      <c r="W15" s="17"/>
      <c r="X15" s="54"/>
    </row>
    <row r="16" spans="2:24" ht="21" customHeight="1" x14ac:dyDescent="0.25">
      <c r="B16" s="53"/>
      <c r="C16" s="379"/>
      <c r="D16" s="330"/>
      <c r="E16" s="17"/>
      <c r="F16" s="17"/>
      <c r="G16" s="333"/>
      <c r="H16" s="341"/>
      <c r="I16" s="756"/>
      <c r="J16" s="17"/>
      <c r="K16" s="17"/>
      <c r="L16" s="17"/>
      <c r="M16" s="524"/>
      <c r="N16" s="524"/>
      <c r="O16" s="524"/>
      <c r="P16" s="524"/>
      <c r="Q16" s="524"/>
      <c r="R16" s="524"/>
      <c r="S16" s="17"/>
      <c r="T16" s="17"/>
      <c r="U16" s="17"/>
      <c r="V16" s="17"/>
      <c r="W16" s="17"/>
      <c r="X16" s="54"/>
    </row>
    <row r="17" spans="2:24" ht="33.950000000000003" customHeight="1" x14ac:dyDescent="0.25">
      <c r="B17" s="53"/>
      <c r="C17" s="651" t="s">
        <v>790</v>
      </c>
      <c r="D17" s="331"/>
      <c r="E17" s="340"/>
      <c r="F17" s="340"/>
      <c r="G17" s="331"/>
      <c r="H17" s="340"/>
      <c r="I17" s="756"/>
      <c r="J17" s="17"/>
      <c r="K17" s="17"/>
      <c r="L17" s="198"/>
      <c r="M17" s="17"/>
      <c r="N17" s="17"/>
      <c r="O17" s="17"/>
      <c r="P17" s="17"/>
      <c r="Q17" s="17"/>
      <c r="R17" s="17"/>
      <c r="S17" s="17"/>
      <c r="T17" s="17"/>
      <c r="U17" s="17"/>
      <c r="V17" s="17"/>
      <c r="W17" s="17"/>
      <c r="X17" s="54"/>
    </row>
    <row r="18" spans="2:24" ht="19.5" customHeight="1" x14ac:dyDescent="0.25">
      <c r="B18" s="53"/>
      <c r="C18" s="336"/>
      <c r="D18" s="136"/>
      <c r="E18" s="136"/>
      <c r="F18" s="136"/>
      <c r="G18" s="136"/>
      <c r="H18" s="599"/>
      <c r="I18" s="756"/>
      <c r="J18" s="17"/>
      <c r="K18" s="17"/>
      <c r="L18" s="17"/>
      <c r="M18" s="17"/>
      <c r="N18" s="752"/>
      <c r="O18" s="752"/>
      <c r="P18" s="752"/>
      <c r="Q18" s="752"/>
      <c r="R18" s="752"/>
      <c r="S18" s="752"/>
      <c r="T18" s="17"/>
      <c r="U18" s="17"/>
      <c r="V18" s="17"/>
      <c r="W18" s="17"/>
      <c r="X18" s="54"/>
    </row>
    <row r="19" spans="2:24" ht="19.5" customHeight="1" x14ac:dyDescent="0.25">
      <c r="B19" s="53"/>
      <c r="C19" s="136"/>
      <c r="D19" s="333"/>
      <c r="E19" s="333"/>
      <c r="F19" s="333"/>
      <c r="G19" s="333"/>
      <c r="H19" s="198"/>
      <c r="I19" s="564"/>
      <c r="J19" s="17"/>
      <c r="K19" s="17"/>
      <c r="L19" s="17"/>
      <c r="M19" s="17"/>
      <c r="N19" s="752"/>
      <c r="O19" s="752"/>
      <c r="P19" s="752"/>
      <c r="Q19" s="752"/>
      <c r="R19" s="752"/>
      <c r="S19" s="752"/>
      <c r="T19" s="17"/>
      <c r="U19" s="17"/>
      <c r="V19" s="17"/>
      <c r="W19" s="17"/>
      <c r="X19" s="54"/>
    </row>
    <row r="20" spans="2:24" ht="19.5" customHeight="1" x14ac:dyDescent="0.25">
      <c r="B20" s="53"/>
      <c r="C20" s="136"/>
      <c r="D20" s="333"/>
      <c r="E20" s="333"/>
      <c r="F20" s="333"/>
      <c r="G20" s="333"/>
      <c r="H20" s="198"/>
      <c r="I20" s="564"/>
      <c r="J20" s="17"/>
      <c r="K20" s="17"/>
      <c r="L20" s="17"/>
      <c r="M20" s="17"/>
      <c r="N20" s="330"/>
      <c r="O20" s="330"/>
      <c r="P20" s="330"/>
      <c r="Q20" s="330"/>
      <c r="R20" s="330"/>
      <c r="S20" s="330"/>
      <c r="T20" s="17"/>
      <c r="U20" s="17"/>
      <c r="V20" s="17"/>
      <c r="W20" s="17"/>
      <c r="X20" s="54"/>
    </row>
    <row r="21" spans="2:24" ht="19.5" customHeight="1" x14ac:dyDescent="0.25">
      <c r="B21" s="53"/>
      <c r="C21" s="136"/>
      <c r="D21" s="333"/>
      <c r="E21" s="333"/>
      <c r="F21" s="333"/>
      <c r="G21" s="333"/>
      <c r="H21" s="198"/>
      <c r="I21" s="564"/>
      <c r="J21" s="17"/>
      <c r="K21" s="17"/>
      <c r="L21" s="17"/>
      <c r="M21" s="17"/>
      <c r="N21" s="17"/>
      <c r="O21" s="17"/>
      <c r="P21" s="17"/>
      <c r="Q21" s="17"/>
      <c r="R21" s="17"/>
      <c r="S21" s="17"/>
      <c r="T21" s="17"/>
      <c r="U21" s="17"/>
      <c r="V21" s="17"/>
      <c r="W21" s="17"/>
      <c r="X21" s="54"/>
    </row>
    <row r="22" spans="2:24" ht="19.5" customHeight="1" x14ac:dyDescent="0.25">
      <c r="B22" s="53"/>
      <c r="C22" s="136"/>
      <c r="D22" s="333"/>
      <c r="E22" s="333"/>
      <c r="F22" s="333"/>
      <c r="G22" s="333"/>
      <c r="H22" s="198"/>
      <c r="I22" s="564"/>
      <c r="J22" s="17"/>
      <c r="K22" s="17"/>
      <c r="L22" s="17"/>
      <c r="M22" s="17"/>
      <c r="N22" s="17"/>
      <c r="O22" s="17"/>
      <c r="P22" s="17"/>
      <c r="Q22" s="17"/>
      <c r="R22" s="17"/>
      <c r="S22" s="17"/>
      <c r="T22" s="17"/>
      <c r="U22" s="17"/>
      <c r="V22" s="17"/>
      <c r="W22" s="17"/>
      <c r="X22" s="54"/>
    </row>
    <row r="23" spans="2:24" ht="19.5" customHeight="1" x14ac:dyDescent="0.25">
      <c r="B23" s="53"/>
      <c r="C23" s="136"/>
      <c r="D23" s="333"/>
      <c r="E23" s="333"/>
      <c r="F23" s="333"/>
      <c r="G23" s="333"/>
      <c r="H23" s="198"/>
      <c r="I23" s="564"/>
      <c r="J23" s="17"/>
      <c r="K23" s="17"/>
      <c r="L23" s="17"/>
      <c r="M23" s="17"/>
      <c r="N23" s="17"/>
      <c r="O23" s="17"/>
      <c r="P23" s="17"/>
      <c r="Q23" s="17"/>
      <c r="R23" s="17"/>
      <c r="S23" s="17"/>
      <c r="T23" s="17"/>
      <c r="U23" s="17"/>
      <c r="V23" s="17"/>
      <c r="W23" s="17"/>
      <c r="X23" s="54"/>
    </row>
    <row r="24" spans="2:24" ht="20.25" customHeight="1" x14ac:dyDescent="0.25">
      <c r="B24" s="53"/>
      <c r="C24" s="17"/>
      <c r="D24" s="17"/>
      <c r="E24" s="17"/>
      <c r="F24" s="17"/>
      <c r="G24" s="17"/>
      <c r="H24" s="17"/>
      <c r="I24" s="17"/>
      <c r="J24" s="17"/>
      <c r="K24" s="17"/>
      <c r="L24" s="17"/>
      <c r="M24" s="17"/>
      <c r="N24" s="17"/>
      <c r="O24" s="17"/>
      <c r="P24" s="17"/>
      <c r="Q24" s="17"/>
      <c r="R24" s="17"/>
      <c r="S24" s="17"/>
      <c r="T24" s="17"/>
      <c r="U24" s="17"/>
      <c r="V24" s="17"/>
      <c r="W24" s="17"/>
      <c r="X24" s="54"/>
    </row>
    <row r="25" spans="2:24" ht="21" customHeight="1" x14ac:dyDescent="0.25">
      <c r="B25" s="53"/>
      <c r="C25" s="379"/>
      <c r="D25" s="330"/>
      <c r="E25" s="330"/>
      <c r="F25" s="330"/>
      <c r="G25" s="333"/>
      <c r="H25" s="337"/>
      <c r="I25" s="756"/>
      <c r="J25" s="17"/>
      <c r="K25" s="330"/>
      <c r="L25" s="330"/>
      <c r="M25" s="17"/>
      <c r="N25" s="17"/>
      <c r="O25" s="17"/>
      <c r="P25" s="17"/>
      <c r="Q25" s="17"/>
      <c r="R25" s="17"/>
      <c r="S25" s="17"/>
      <c r="T25" s="17"/>
      <c r="U25" s="17"/>
      <c r="V25" s="17"/>
      <c r="W25" s="17"/>
      <c r="X25" s="54"/>
    </row>
    <row r="26" spans="2:24" ht="33.950000000000003" customHeight="1" x14ac:dyDescent="0.25">
      <c r="B26" s="53"/>
      <c r="C26" s="136"/>
      <c r="D26" s="331"/>
      <c r="E26" s="340"/>
      <c r="F26" s="340"/>
      <c r="G26" s="331"/>
      <c r="H26" s="340"/>
      <c r="I26" s="756"/>
      <c r="J26" s="136"/>
      <c r="K26" s="333"/>
      <c r="L26" s="198"/>
      <c r="M26" s="17"/>
      <c r="N26" s="17"/>
      <c r="O26" s="17"/>
      <c r="P26" s="17"/>
      <c r="Q26" s="17"/>
      <c r="R26" s="17"/>
      <c r="S26" s="17"/>
      <c r="T26" s="17"/>
      <c r="U26" s="17"/>
      <c r="V26" s="17"/>
      <c r="W26" s="17"/>
      <c r="X26" s="54"/>
    </row>
    <row r="27" spans="2:24" ht="19.5" customHeight="1" x14ac:dyDescent="0.25">
      <c r="B27" s="53"/>
      <c r="C27" s="136"/>
      <c r="D27" s="136"/>
      <c r="E27" s="136"/>
      <c r="F27" s="136"/>
      <c r="G27" s="136"/>
      <c r="H27" s="136"/>
      <c r="I27" s="756"/>
      <c r="J27" s="17"/>
      <c r="K27" s="334"/>
      <c r="L27" s="17"/>
      <c r="M27" s="17"/>
      <c r="N27" s="17"/>
      <c r="O27" s="17"/>
      <c r="P27" s="17"/>
      <c r="Q27" s="17"/>
      <c r="R27" s="17"/>
      <c r="S27" s="17"/>
      <c r="T27" s="17"/>
      <c r="U27" s="17"/>
      <c r="V27" s="17"/>
      <c r="W27" s="131"/>
      <c r="X27" s="54"/>
    </row>
    <row r="28" spans="2:24" ht="19.5" customHeight="1" x14ac:dyDescent="0.25">
      <c r="B28" s="53"/>
      <c r="C28" s="136"/>
      <c r="D28" s="333"/>
      <c r="E28" s="333"/>
      <c r="F28" s="333"/>
      <c r="G28" s="600"/>
      <c r="H28" s="198"/>
      <c r="I28" s="564"/>
      <c r="J28" s="17"/>
      <c r="K28" s="17"/>
      <c r="L28" s="17"/>
      <c r="M28" s="17"/>
      <c r="N28" s="17"/>
      <c r="O28" s="17"/>
      <c r="P28" s="17"/>
      <c r="Q28" s="17"/>
      <c r="R28" s="17"/>
      <c r="S28" s="17"/>
      <c r="T28" s="17"/>
      <c r="U28" s="17"/>
      <c r="V28" s="17"/>
      <c r="W28" s="17"/>
      <c r="X28" s="54"/>
    </row>
    <row r="29" spans="2:24" ht="19.5" customHeight="1" x14ac:dyDescent="0.25">
      <c r="B29" s="53"/>
      <c r="C29" s="136"/>
      <c r="D29" s="333"/>
      <c r="E29" s="333"/>
      <c r="F29" s="333"/>
      <c r="G29" s="333"/>
      <c r="H29" s="198"/>
      <c r="I29" s="564"/>
      <c r="J29" s="17"/>
      <c r="K29" s="17"/>
      <c r="L29" s="17"/>
      <c r="M29" s="17"/>
      <c r="N29" s="17"/>
      <c r="O29" s="17"/>
      <c r="P29" s="17"/>
      <c r="Q29" s="17"/>
      <c r="R29" s="17"/>
      <c r="S29" s="17"/>
      <c r="T29" s="17"/>
      <c r="U29" s="17"/>
      <c r="V29" s="17"/>
      <c r="W29" s="17"/>
      <c r="X29" s="54"/>
    </row>
    <row r="30" spans="2:24" ht="19.5" customHeight="1" x14ac:dyDescent="0.25">
      <c r="B30" s="53"/>
      <c r="C30" s="136"/>
      <c r="D30" s="333"/>
      <c r="E30" s="333"/>
      <c r="F30" s="333"/>
      <c r="G30" s="333"/>
      <c r="H30" s="198"/>
      <c r="I30" s="564"/>
      <c r="J30" s="17"/>
      <c r="K30" s="17"/>
      <c r="L30" s="131"/>
      <c r="M30" s="752"/>
      <c r="N30" s="752"/>
      <c r="O30" s="752"/>
      <c r="P30" s="330"/>
      <c r="Q30" s="17"/>
      <c r="R30" s="17"/>
      <c r="S30" s="17"/>
      <c r="T30" s="17"/>
      <c r="U30" s="17"/>
      <c r="V30" s="17"/>
      <c r="W30" s="17"/>
      <c r="X30" s="54"/>
    </row>
    <row r="31" spans="2:24" ht="19.5" customHeight="1" x14ac:dyDescent="0.25">
      <c r="B31" s="53"/>
      <c r="C31" s="136"/>
      <c r="D31" s="333"/>
      <c r="E31" s="333"/>
      <c r="F31" s="333"/>
      <c r="G31" s="333"/>
      <c r="H31" s="198"/>
      <c r="I31" s="564"/>
      <c r="J31" s="17"/>
      <c r="K31" s="17"/>
      <c r="L31" s="17"/>
      <c r="M31" s="752"/>
      <c r="N31" s="752"/>
      <c r="O31" s="752"/>
      <c r="P31" s="330"/>
      <c r="Q31" s="17"/>
      <c r="R31" s="17"/>
      <c r="S31" s="17"/>
      <c r="T31" s="17"/>
      <c r="U31" s="17"/>
      <c r="V31" s="17"/>
      <c r="W31" s="17"/>
      <c r="X31" s="54"/>
    </row>
    <row r="32" spans="2:24" ht="19.5" customHeight="1" x14ac:dyDescent="0.25">
      <c r="B32" s="53"/>
      <c r="C32" s="136"/>
      <c r="D32" s="333"/>
      <c r="E32" s="17"/>
      <c r="F32" s="17"/>
      <c r="G32" s="333"/>
      <c r="H32" s="198"/>
      <c r="I32" s="198"/>
      <c r="J32" s="17"/>
      <c r="K32" s="17"/>
      <c r="L32" s="17"/>
      <c r="M32" s="330"/>
      <c r="N32" s="330"/>
      <c r="O32" s="330"/>
      <c r="P32" s="17"/>
      <c r="Q32" s="17"/>
      <c r="R32" s="17"/>
      <c r="S32" s="17"/>
      <c r="T32" s="17"/>
      <c r="U32" s="17"/>
      <c r="V32" s="17"/>
      <c r="W32" s="337"/>
      <c r="X32" s="54"/>
    </row>
    <row r="33" spans="2:24" ht="15.75" x14ac:dyDescent="0.25">
      <c r="B33" s="53"/>
      <c r="C33" s="17"/>
      <c r="D33" s="123"/>
      <c r="E33" s="17"/>
      <c r="F33" s="17"/>
      <c r="G33" s="17"/>
      <c r="H33" s="198"/>
      <c r="I33" s="198"/>
      <c r="J33" s="17"/>
      <c r="K33" s="19"/>
      <c r="L33" s="19"/>
      <c r="M33" s="19"/>
      <c r="N33" s="19"/>
      <c r="O33" s="19"/>
      <c r="P33" s="19"/>
      <c r="Q33" s="19"/>
      <c r="R33" s="19"/>
      <c r="S33" s="19"/>
      <c r="T33" s="17"/>
      <c r="U33" s="17"/>
      <c r="V33" s="17"/>
      <c r="W33" s="17"/>
      <c r="X33" s="54"/>
    </row>
    <row r="34" spans="2:24" ht="15.75" x14ac:dyDescent="0.25">
      <c r="B34" s="53"/>
      <c r="C34" s="523"/>
      <c r="D34" s="123"/>
      <c r="E34" s="17"/>
      <c r="F34" s="17"/>
      <c r="G34" s="17"/>
      <c r="H34" s="198"/>
      <c r="I34" s="198"/>
      <c r="J34" s="17"/>
      <c r="K34" s="17"/>
      <c r="L34" s="17"/>
      <c r="M34" s="17"/>
      <c r="N34" s="17"/>
      <c r="O34" s="17"/>
      <c r="P34" s="17"/>
      <c r="Q34" s="17"/>
      <c r="R34" s="17"/>
      <c r="S34" s="17"/>
      <c r="T34" s="17"/>
      <c r="U34" s="17"/>
      <c r="V34" s="17"/>
      <c r="W34" s="17"/>
      <c r="X34" s="54"/>
    </row>
    <row r="35" spans="2:24" ht="15.75" x14ac:dyDescent="0.25">
      <c r="B35" s="53"/>
      <c r="C35" s="17"/>
      <c r="D35" s="123"/>
      <c r="E35" s="17"/>
      <c r="F35" s="17"/>
      <c r="G35" s="17"/>
      <c r="H35" s="198"/>
      <c r="I35" s="198"/>
      <c r="J35" s="17"/>
      <c r="K35" s="17"/>
      <c r="L35" s="17"/>
      <c r="M35" s="17"/>
      <c r="N35" s="17"/>
      <c r="O35" s="17"/>
      <c r="P35" s="17"/>
      <c r="Q35" s="17"/>
      <c r="R35" s="17"/>
      <c r="S35" s="17"/>
      <c r="T35" s="17"/>
      <c r="U35" s="17"/>
      <c r="V35" s="17"/>
      <c r="W35" s="17"/>
      <c r="X35" s="54"/>
    </row>
    <row r="36" spans="2:24" ht="15.75" x14ac:dyDescent="0.25">
      <c r="B36" s="53"/>
      <c r="C36" s="17"/>
      <c r="D36" s="123"/>
      <c r="E36" s="17"/>
      <c r="F36" s="17"/>
      <c r="G36" s="17"/>
      <c r="H36" s="198"/>
      <c r="I36" s="198"/>
      <c r="J36" s="17"/>
      <c r="K36" s="17"/>
      <c r="L36" s="17"/>
      <c r="M36" s="17"/>
      <c r="N36" s="17"/>
      <c r="O36" s="17"/>
      <c r="P36" s="17"/>
      <c r="Q36" s="17"/>
      <c r="R36" s="17"/>
      <c r="S36" s="17"/>
      <c r="T36" s="17"/>
      <c r="U36" s="17"/>
      <c r="V36" s="17"/>
      <c r="W36" s="17"/>
      <c r="X36" s="54"/>
    </row>
    <row r="37" spans="2:24" ht="15.75" x14ac:dyDescent="0.25">
      <c r="B37" s="53"/>
      <c r="C37" s="17"/>
      <c r="D37" s="123"/>
      <c r="E37" s="17"/>
      <c r="F37" s="17"/>
      <c r="G37" s="17"/>
      <c r="H37" s="198"/>
      <c r="I37" s="198"/>
      <c r="J37" s="17"/>
      <c r="K37" s="17"/>
      <c r="L37" s="17"/>
      <c r="M37" s="17"/>
      <c r="N37" s="17"/>
      <c r="O37" s="17"/>
      <c r="P37" s="17"/>
      <c r="Q37" s="17"/>
      <c r="R37" s="17"/>
      <c r="S37" s="17"/>
      <c r="T37" s="17"/>
      <c r="U37" s="17"/>
      <c r="V37" s="17"/>
      <c r="W37" s="17"/>
      <c r="X37" s="54"/>
    </row>
    <row r="38" spans="2:24" ht="15.75" x14ac:dyDescent="0.25">
      <c r="B38" s="53"/>
      <c r="C38" s="17"/>
      <c r="D38" s="123"/>
      <c r="E38" s="17"/>
      <c r="F38" s="17"/>
      <c r="G38" s="17"/>
      <c r="H38" s="198"/>
      <c r="I38" s="198"/>
      <c r="J38" s="17"/>
      <c r="K38" s="17"/>
      <c r="L38" s="17"/>
      <c r="M38" s="17"/>
      <c r="N38" s="17"/>
      <c r="O38" s="17"/>
      <c r="P38" s="17"/>
      <c r="Q38" s="17"/>
      <c r="R38" s="17"/>
      <c r="S38" s="17"/>
      <c r="T38" s="17"/>
      <c r="U38" s="17"/>
      <c r="V38" s="17"/>
      <c r="W38" s="17"/>
      <c r="X38" s="54"/>
    </row>
    <row r="39" spans="2:24" ht="15.75" x14ac:dyDescent="0.25">
      <c r="B39" s="53"/>
      <c r="C39" s="17"/>
      <c r="D39" s="123"/>
      <c r="E39" s="17"/>
      <c r="F39" s="17"/>
      <c r="G39" s="17"/>
      <c r="H39" s="198"/>
      <c r="I39" s="198"/>
      <c r="J39" s="17"/>
      <c r="K39" s="17"/>
      <c r="L39" s="17"/>
      <c r="M39" s="17"/>
      <c r="N39" s="17"/>
      <c r="O39" s="17"/>
      <c r="P39" s="17"/>
      <c r="Q39" s="17"/>
      <c r="R39" s="17"/>
      <c r="S39" s="17"/>
      <c r="T39" s="17"/>
      <c r="U39" s="17"/>
      <c r="V39" s="17"/>
      <c r="W39" s="17"/>
      <c r="X39" s="54"/>
    </row>
    <row r="40" spans="2:24" ht="15.75" x14ac:dyDescent="0.25">
      <c r="B40" s="53"/>
      <c r="C40" s="17"/>
      <c r="D40" s="123"/>
      <c r="E40" s="17"/>
      <c r="F40" s="17"/>
      <c r="G40" s="17"/>
      <c r="H40" s="198"/>
      <c r="I40" s="198"/>
      <c r="J40" s="17"/>
      <c r="K40" s="17"/>
      <c r="L40" s="17"/>
      <c r="M40" s="17"/>
      <c r="N40" s="17"/>
      <c r="O40" s="17"/>
      <c r="P40" s="17"/>
      <c r="Q40" s="17"/>
      <c r="R40" s="17"/>
      <c r="S40" s="17"/>
      <c r="T40" s="17"/>
      <c r="U40" s="17"/>
      <c r="V40" s="17"/>
      <c r="W40" s="17"/>
      <c r="X40" s="54"/>
    </row>
    <row r="41" spans="2:24" ht="15.75" x14ac:dyDescent="0.25">
      <c r="B41" s="53"/>
      <c r="C41" s="17"/>
      <c r="D41" s="123"/>
      <c r="E41" s="17"/>
      <c r="F41" s="17"/>
      <c r="G41" s="17"/>
      <c r="H41" s="198"/>
      <c r="I41" s="198"/>
      <c r="J41" s="17"/>
      <c r="K41" s="17"/>
      <c r="L41" s="17"/>
      <c r="M41" s="17"/>
      <c r="N41" s="17"/>
      <c r="O41" s="17"/>
      <c r="P41" s="17"/>
      <c r="Q41" s="17"/>
      <c r="R41" s="17"/>
      <c r="S41" s="17"/>
      <c r="T41" s="17"/>
      <c r="U41" s="17"/>
      <c r="V41" s="17"/>
      <c r="W41" s="17"/>
      <c r="X41" s="54"/>
    </row>
    <row r="42" spans="2:24" x14ac:dyDescent="0.25">
      <c r="B42" s="55"/>
      <c r="C42" s="56"/>
      <c r="D42" s="56"/>
      <c r="E42" s="56"/>
      <c r="F42" s="56"/>
      <c r="G42" s="56"/>
      <c r="H42" s="56"/>
      <c r="I42" s="56"/>
      <c r="J42" s="56"/>
      <c r="K42" s="56"/>
      <c r="L42" s="56"/>
      <c r="M42" s="56"/>
      <c r="N42" s="56"/>
      <c r="O42" s="56"/>
      <c r="P42" s="56"/>
      <c r="Q42" s="56"/>
      <c r="R42" s="56"/>
      <c r="S42" s="56"/>
      <c r="T42" s="56"/>
      <c r="U42" s="56"/>
      <c r="V42" s="56"/>
      <c r="W42" s="56"/>
      <c r="X42" s="57"/>
    </row>
    <row r="43" spans="2:24" ht="14.65" customHeight="1" x14ac:dyDescent="0.25"/>
    <row r="45" spans="2:24" ht="17.649999999999999" customHeight="1" x14ac:dyDescent="0.25"/>
  </sheetData>
  <sheetProtection algorithmName="SHA-512" hashValue="O4z7k9XESlWPHpVllckgdwphMKBwRU8Y2NPGkbFJ07C9tEB6XP7zZtQa7DFrqmRaVwAY04aY2xE/XfOEXALkCw==" saltValue="exz17+SgVLI9Sux+XFcsog==" spinCount="100000" sheet="1" objects="1" selectLockedCells="1"/>
  <mergeCells count="8">
    <mergeCell ref="E12:E15"/>
    <mergeCell ref="F12:F15"/>
    <mergeCell ref="J9:J11"/>
    <mergeCell ref="I25:I27"/>
    <mergeCell ref="M30:O31"/>
    <mergeCell ref="M7:T9"/>
    <mergeCell ref="I16:I18"/>
    <mergeCell ref="N18:S19"/>
  </mergeCells>
  <phoneticPr fontId="64" type="noConversion"/>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59396" r:id="rId4">
          <objectPr defaultSize="0" r:id="rId5">
            <anchor moveWithCells="1">
              <from>
                <xdr:col>10</xdr:col>
                <xdr:colOff>295275</xdr:colOff>
                <xdr:row>7</xdr:row>
                <xdr:rowOff>142875</xdr:rowOff>
              </from>
              <to>
                <xdr:col>23</xdr:col>
                <xdr:colOff>2152650</xdr:colOff>
                <xdr:row>19</xdr:row>
                <xdr:rowOff>19050</xdr:rowOff>
              </to>
            </anchor>
          </objectPr>
        </oleObject>
      </mc:Choice>
      <mc:Fallback>
        <oleObject progId="Visio.Drawing.15" shapeId="59396" r:id="rId4"/>
      </mc:Fallback>
    </mc:AlternateContent>
    <mc:AlternateContent xmlns:mc="http://schemas.openxmlformats.org/markup-compatibility/2006">
      <mc:Choice Requires="x14">
        <oleObject progId="Visio.Drawing.15" shapeId="59410" r:id="rId6">
          <objectPr defaultSize="0" r:id="rId7">
            <anchor moveWithCells="1">
              <from>
                <xdr:col>2</xdr:col>
                <xdr:colOff>28575</xdr:colOff>
                <xdr:row>17</xdr:row>
                <xdr:rowOff>38100</xdr:rowOff>
              </from>
              <to>
                <xdr:col>9</xdr:col>
                <xdr:colOff>400050</xdr:colOff>
                <xdr:row>26</xdr:row>
                <xdr:rowOff>142875</xdr:rowOff>
              </to>
            </anchor>
          </objectPr>
        </oleObject>
      </mc:Choice>
      <mc:Fallback>
        <oleObject progId="Visio.Drawing.15" shapeId="59410" r:id="rId6"/>
      </mc:Fallback>
    </mc:AlternateContent>
    <mc:AlternateContent xmlns:mc="http://schemas.openxmlformats.org/markup-compatibility/2006">
      <mc:Choice Requires="x14">
        <oleObject progId="Visio.Drawing.15" shapeId="59411" r:id="rId8">
          <objectPr defaultSize="0" r:id="rId9">
            <anchor moveWithCells="1">
              <from>
                <xdr:col>2</xdr:col>
                <xdr:colOff>0</xdr:colOff>
                <xdr:row>27</xdr:row>
                <xdr:rowOff>85725</xdr:rowOff>
              </from>
              <to>
                <xdr:col>9</xdr:col>
                <xdr:colOff>361950</xdr:colOff>
                <xdr:row>38</xdr:row>
                <xdr:rowOff>180975</xdr:rowOff>
              </to>
            </anchor>
          </objectPr>
        </oleObject>
      </mc:Choice>
      <mc:Fallback>
        <oleObject progId="Visio.Drawing.15" shapeId="59411" r:id="rId8"/>
      </mc:Fallback>
    </mc:AlternateContent>
  </oleObjects>
  <mc:AlternateContent xmlns:mc="http://schemas.openxmlformats.org/markup-compatibility/2006">
    <mc:Choice Requires="x14">
      <controls>
        <mc:AlternateContent xmlns:mc="http://schemas.openxmlformats.org/markup-compatibility/2006">
          <mc:Choice Requires="x14">
            <control shapeId="59393" r:id="rId10" name="Group Box 1">
              <controlPr defaultSize="0" autoFill="0" autoPict="0">
                <anchor moveWithCells="1">
                  <from>
                    <xdr:col>1</xdr:col>
                    <xdr:colOff>133350</xdr:colOff>
                    <xdr:row>6</xdr:row>
                    <xdr:rowOff>76200</xdr:rowOff>
                  </from>
                  <to>
                    <xdr:col>22</xdr:col>
                    <xdr:colOff>142875</xdr:colOff>
                    <xdr:row>16</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P53"/>
  <sheetViews>
    <sheetView showGridLines="0" view="pageLayout" zoomScaleNormal="100" workbookViewId="0">
      <selection activeCell="B2" sqref="B2:G2"/>
    </sheetView>
  </sheetViews>
  <sheetFormatPr defaultColWidth="8.85546875" defaultRowHeight="13.5" x14ac:dyDescent="0.25"/>
  <cols>
    <col min="1" max="1" width="25.5703125" style="627" customWidth="1"/>
    <col min="2" max="2" width="10.42578125" style="627" customWidth="1"/>
    <col min="3" max="3" width="6" style="627" customWidth="1"/>
    <col min="4" max="4" width="5.42578125" style="627" customWidth="1"/>
    <col min="5" max="5" width="24.140625" style="627" customWidth="1"/>
    <col min="6" max="6" width="7.42578125" style="627" customWidth="1"/>
    <col min="7" max="7" width="7.7109375" style="627" customWidth="1"/>
    <col min="8" max="8" width="25.5703125" style="627" customWidth="1"/>
    <col min="9" max="15" width="7.42578125" style="627" customWidth="1"/>
    <col min="16" max="16" width="9.7109375" style="627" customWidth="1"/>
    <col min="17" max="16384" width="8.85546875" style="627"/>
  </cols>
  <sheetData>
    <row r="1" spans="1:16" ht="33" customHeight="1" x14ac:dyDescent="0.25">
      <c r="A1" s="625"/>
      <c r="B1" s="626" t="s">
        <v>514</v>
      </c>
      <c r="H1" s="625"/>
      <c r="I1" s="626" t="s">
        <v>514</v>
      </c>
    </row>
    <row r="2" spans="1:16" ht="14.25" customHeight="1" x14ac:dyDescent="0.25">
      <c r="A2" s="628" t="s">
        <v>158</v>
      </c>
      <c r="B2" s="762" t="str">
        <f>'HSC-VS'!D5</f>
        <v>&lt;Project Name&gt;</v>
      </c>
      <c r="C2" s="762"/>
      <c r="D2" s="762"/>
      <c r="E2" s="762"/>
      <c r="F2" s="762"/>
      <c r="G2" s="762"/>
      <c r="H2" s="628" t="s">
        <v>529</v>
      </c>
      <c r="I2" s="629" t="str">
        <f>Data!C368</f>
        <v>H₁</v>
      </c>
      <c r="J2" s="629" t="str">
        <f>Data!D368</f>
        <v>H₂</v>
      </c>
      <c r="K2" s="629" t="str">
        <f>Data!E368</f>
        <v>H₄</v>
      </c>
      <c r="L2" s="629" t="str">
        <f ca="1">Data!F368</f>
        <v>H₃</v>
      </c>
      <c r="M2" s="629" t="str">
        <f ca="1">Data!G368</f>
        <v>L₃</v>
      </c>
      <c r="O2" s="628" t="s">
        <v>901</v>
      </c>
      <c r="P2" s="628"/>
    </row>
    <row r="3" spans="1:16" ht="14.25" customHeight="1" x14ac:dyDescent="0.25">
      <c r="A3" s="628" t="s">
        <v>159</v>
      </c>
      <c r="B3" s="762" t="s">
        <v>160</v>
      </c>
      <c r="C3" s="762"/>
      <c r="D3" s="762"/>
      <c r="E3" s="762"/>
      <c r="F3" s="762"/>
      <c r="G3" s="762"/>
      <c r="H3" s="627" t="str">
        <f ca="1">Data!A367</f>
        <v>H250-DN200</v>
      </c>
      <c r="I3" s="629">
        <f ca="1">Data!C369</f>
        <v>250</v>
      </c>
      <c r="J3" s="629">
        <f ca="1">Data!D369</f>
        <v>50</v>
      </c>
      <c r="K3" s="629">
        <f ca="1">Data!E369</f>
        <v>25</v>
      </c>
      <c r="L3" s="629">
        <f ca="1">Data!F369</f>
        <v>175</v>
      </c>
      <c r="M3" s="629">
        <f ca="1">Data!G369</f>
        <v>220</v>
      </c>
      <c r="N3" s="627" t="str">
        <f ca="1">Data!H369</f>
        <v>[mm]</v>
      </c>
      <c r="O3" s="630" t="str">
        <f ca="1">Data!$B$370</f>
        <v>3.3 m/s</v>
      </c>
    </row>
    <row r="4" spans="1:16" ht="14.25" customHeight="1" x14ac:dyDescent="0.25">
      <c r="A4" s="628" t="s">
        <v>330</v>
      </c>
      <c r="B4" s="762" t="s">
        <v>160</v>
      </c>
      <c r="C4" s="762"/>
      <c r="D4" s="762"/>
      <c r="E4" s="762"/>
      <c r="F4" s="762"/>
      <c r="G4" s="762"/>
      <c r="I4" s="631"/>
      <c r="J4" s="631"/>
      <c r="K4" s="631"/>
      <c r="L4" s="631"/>
      <c r="M4" s="631"/>
      <c r="N4" s="632"/>
    </row>
    <row r="5" spans="1:16" ht="14.25" customHeight="1" x14ac:dyDescent="0.25">
      <c r="B5" s="625"/>
      <c r="I5" s="631"/>
      <c r="J5" s="631"/>
      <c r="K5" s="631"/>
      <c r="L5" s="631"/>
      <c r="M5" s="631"/>
      <c r="N5" s="632"/>
    </row>
    <row r="6" spans="1:16" ht="14.25" customHeight="1" x14ac:dyDescent="0.25">
      <c r="A6" s="633" t="s">
        <v>161</v>
      </c>
      <c r="B6" s="630" t="s">
        <v>523</v>
      </c>
    </row>
    <row r="7" spans="1:16" ht="14.25" customHeight="1" x14ac:dyDescent="0.25">
      <c r="A7" s="633"/>
      <c r="B7" s="630" t="s">
        <v>515</v>
      </c>
    </row>
    <row r="8" spans="1:16" ht="14.25" customHeight="1" x14ac:dyDescent="0.25"/>
    <row r="9" spans="1:16" ht="14.25" customHeight="1" x14ac:dyDescent="0.25">
      <c r="A9" s="633" t="s">
        <v>152</v>
      </c>
      <c r="B9" s="630"/>
    </row>
    <row r="10" spans="1:16" ht="14.25" customHeight="1" x14ac:dyDescent="0.25">
      <c r="A10" s="630" t="s">
        <v>788</v>
      </c>
      <c r="B10" s="630" t="str">
        <f ca="1">Data!C6</f>
        <v>D5</v>
      </c>
      <c r="D10" s="636" t="s">
        <v>1008</v>
      </c>
      <c r="E10" s="636"/>
      <c r="F10" s="636"/>
      <c r="G10" s="636"/>
    </row>
    <row r="11" spans="1:16" ht="14.25" customHeight="1" x14ac:dyDescent="0.25">
      <c r="A11" s="630" t="s">
        <v>843</v>
      </c>
      <c r="B11" s="630" t="str">
        <f>Equations!$C$21</f>
        <v>4 Way (360°)</v>
      </c>
      <c r="D11" s="636" t="s">
        <v>1009</v>
      </c>
      <c r="E11" s="636"/>
      <c r="F11" s="636"/>
      <c r="G11" s="636"/>
    </row>
    <row r="12" spans="1:16" ht="14.25" customHeight="1" x14ac:dyDescent="0.25">
      <c r="A12" s="630" t="s">
        <v>536</v>
      </c>
      <c r="B12" s="630" t="str">
        <f ca="1">Data!F229</f>
        <v>116 L/s @ 0.78 Pa (static); damper open to 2950%</v>
      </c>
      <c r="D12" s="625"/>
      <c r="E12" s="628"/>
    </row>
    <row r="13" spans="1:16" ht="14.25" customHeight="1" x14ac:dyDescent="0.25">
      <c r="A13" s="630" t="s">
        <v>261</v>
      </c>
      <c r="B13" s="630" t="str">
        <f ca="1">Data!F231</f>
        <v>40.0 Pa (VAV turndown to 30%)</v>
      </c>
    </row>
    <row r="14" spans="1:16" ht="14.25" customHeight="1" x14ac:dyDescent="0.25">
      <c r="A14" s="630" t="s">
        <v>55</v>
      </c>
      <c r="B14" s="630" t="str">
        <f ca="1">Data!F232</f>
        <v>0.78 Pa (turndown to 30%)  @ ΔT(supply - room) = -12.0 K</v>
      </c>
      <c r="F14" s="637"/>
    </row>
    <row r="15" spans="1:16" ht="14.25" customHeight="1" x14ac:dyDescent="0.25">
      <c r="A15" s="630" t="s">
        <v>242</v>
      </c>
      <c r="B15" s="627" t="str">
        <f ca="1">Data!F238</f>
        <v>+ 12.9 K</v>
      </c>
      <c r="H15" s="628" t="s">
        <v>174</v>
      </c>
    </row>
    <row r="16" spans="1:16" ht="14.25" customHeight="1" x14ac:dyDescent="0.25">
      <c r="A16" s="760" t="s">
        <v>245</v>
      </c>
      <c r="B16" s="627" t="str">
        <f ca="1">Data!F239</f>
        <v>+ 8.6 K</v>
      </c>
      <c r="D16" s="763" t="str">
        <f ca="1">"¹ Values valid for diffuser with recommended connection box " &amp; CHAR(10) &amp; Data!F249</f>
        <v>¹ Values valid for diffuser with recommended connection box 
H350-DN200</v>
      </c>
      <c r="E16" s="763"/>
      <c r="F16" s="763"/>
      <c r="G16" s="763"/>
      <c r="H16" s="627" t="s">
        <v>530</v>
      </c>
      <c r="I16" s="760" t="str">
        <f ca="1">Data!B340</f>
        <v xml:space="preserve">HSC-VS Diffuser 
• Recommended D5 door setting (adjusted on-site)
• 4 Way (360°) discharge
• □ 595 mm square face
• Powder coated to RAL9003
Connection Box Details
• 250 mm high box (default)
• Foam box with R1 insulation
• DN200 mm (default) side entry spigot
• No pressure damper
</v>
      </c>
      <c r="J16" s="760"/>
      <c r="K16" s="760"/>
      <c r="L16" s="760"/>
      <c r="M16" s="760"/>
      <c r="N16" s="760"/>
      <c r="O16" s="760"/>
      <c r="P16" s="760"/>
    </row>
    <row r="17" spans="1:16" ht="14.25" customHeight="1" x14ac:dyDescent="0.25">
      <c r="A17" s="760"/>
      <c r="B17" s="630"/>
      <c r="D17" s="763"/>
      <c r="E17" s="763"/>
      <c r="F17" s="763"/>
      <c r="G17" s="763"/>
      <c r="I17" s="760"/>
      <c r="J17" s="760"/>
      <c r="K17" s="760"/>
      <c r="L17" s="760"/>
      <c r="M17" s="760"/>
      <c r="N17" s="760"/>
      <c r="O17" s="760"/>
      <c r="P17" s="760"/>
    </row>
    <row r="18" spans="1:16" ht="14.25" customHeight="1" x14ac:dyDescent="0.25">
      <c r="A18" s="640"/>
      <c r="B18" s="630"/>
      <c r="D18" s="763" t="str">
        <f>Data!B16</f>
        <v>¹ Motorised pressure control damper - static pressure controlled to ≤ 50 Pa</v>
      </c>
      <c r="E18" s="763"/>
      <c r="F18" s="763"/>
      <c r="G18" s="763"/>
      <c r="I18" s="760"/>
      <c r="J18" s="760"/>
      <c r="K18" s="760"/>
      <c r="L18" s="760"/>
      <c r="M18" s="760"/>
      <c r="N18" s="760"/>
      <c r="O18" s="760"/>
      <c r="P18" s="760"/>
    </row>
    <row r="19" spans="1:16" ht="14.25" customHeight="1" x14ac:dyDescent="0.25">
      <c r="A19" s="633" t="s">
        <v>156</v>
      </c>
      <c r="B19" s="630"/>
      <c r="D19" s="763"/>
      <c r="E19" s="763"/>
      <c r="F19" s="763"/>
      <c r="G19" s="763"/>
      <c r="I19" s="760"/>
      <c r="J19" s="760"/>
      <c r="K19" s="760"/>
      <c r="L19" s="760"/>
      <c r="M19" s="760"/>
      <c r="N19" s="760"/>
      <c r="O19" s="760"/>
      <c r="P19" s="760"/>
    </row>
    <row r="20" spans="1:16" ht="14.25" customHeight="1" x14ac:dyDescent="0.25">
      <c r="A20" s="630" t="s">
        <v>189</v>
      </c>
      <c r="B20" s="630" t="str">
        <f ca="1">Data!C288</f>
        <v>40.0 db(A)</v>
      </c>
      <c r="D20" s="638" t="str">
        <f ca="1">Data!E288</f>
        <v/>
      </c>
      <c r="I20" s="760"/>
      <c r="J20" s="760"/>
      <c r="K20" s="760"/>
      <c r="L20" s="760"/>
      <c r="M20" s="760"/>
      <c r="N20" s="760"/>
      <c r="O20" s="760"/>
      <c r="P20" s="760"/>
    </row>
    <row r="21" spans="1:16" ht="14.25" customHeight="1" x14ac:dyDescent="0.25">
      <c r="A21" s="630" t="s">
        <v>244</v>
      </c>
      <c r="B21" s="630" t="str">
        <f ca="1">Data!D288</f>
        <v>25.0 NC</v>
      </c>
      <c r="D21" s="638" t="s">
        <v>190</v>
      </c>
      <c r="I21" s="760"/>
      <c r="J21" s="760"/>
      <c r="K21" s="760"/>
      <c r="L21" s="760"/>
      <c r="M21" s="760"/>
      <c r="N21" s="760"/>
      <c r="O21" s="760"/>
      <c r="P21" s="760"/>
    </row>
    <row r="22" spans="1:16" ht="14.25" customHeight="1" x14ac:dyDescent="0.25">
      <c r="I22" s="760"/>
      <c r="J22" s="760"/>
      <c r="K22" s="760"/>
      <c r="L22" s="760"/>
      <c r="M22" s="760"/>
      <c r="N22" s="760"/>
      <c r="O22" s="760"/>
      <c r="P22" s="760"/>
    </row>
    <row r="23" spans="1:16" ht="14.25" customHeight="1" x14ac:dyDescent="0.25">
      <c r="A23" s="628" t="s">
        <v>154</v>
      </c>
      <c r="I23" s="760"/>
      <c r="J23" s="760"/>
      <c r="K23" s="760"/>
      <c r="L23" s="760"/>
      <c r="M23" s="760"/>
      <c r="N23" s="760"/>
      <c r="O23" s="760"/>
      <c r="P23" s="760"/>
    </row>
    <row r="24" spans="1:16" ht="14.25" customHeight="1" x14ac:dyDescent="0.25">
      <c r="A24" s="630" t="s">
        <v>329</v>
      </c>
      <c r="B24" s="630" t="str">
        <f>Data!D311</f>
        <v>≥ 90%</v>
      </c>
      <c r="C24" s="625"/>
      <c r="I24" s="760"/>
      <c r="J24" s="760"/>
      <c r="K24" s="760"/>
      <c r="L24" s="760"/>
      <c r="M24" s="760"/>
      <c r="N24" s="760"/>
      <c r="O24" s="760"/>
      <c r="P24" s="760"/>
    </row>
    <row r="25" spans="1:16" ht="14.25" customHeight="1" x14ac:dyDescent="0.25">
      <c r="A25" s="630" t="s">
        <v>250</v>
      </c>
      <c r="B25" s="639" t="str">
        <f ca="1">Data!D313</f>
        <v>0.12 m/s</v>
      </c>
      <c r="C25" s="630"/>
      <c r="I25" s="760"/>
      <c r="J25" s="760"/>
      <c r="K25" s="760"/>
      <c r="L25" s="760"/>
      <c r="M25" s="760"/>
      <c r="N25" s="760"/>
      <c r="O25" s="760"/>
      <c r="P25" s="760"/>
    </row>
    <row r="26" spans="1:16" ht="14.25" customHeight="1" x14ac:dyDescent="0.25">
      <c r="A26" s="630" t="s">
        <v>262</v>
      </c>
      <c r="B26" s="630" t="str">
        <f ca="1">Data!D314</f>
        <v>10.1% @ room temperature of 23 °C</v>
      </c>
      <c r="C26" s="630"/>
      <c r="I26" s="760"/>
      <c r="J26" s="760"/>
      <c r="K26" s="760"/>
      <c r="L26" s="760"/>
      <c r="M26" s="760"/>
      <c r="N26" s="760"/>
      <c r="O26" s="760"/>
      <c r="P26" s="760"/>
    </row>
    <row r="27" spans="1:16" ht="14.25" customHeight="1" x14ac:dyDescent="0.25">
      <c r="A27" s="630" t="s">
        <v>125</v>
      </c>
      <c r="B27" s="630" t="str">
        <f ca="1">Data!D315</f>
        <v>6%</v>
      </c>
      <c r="C27" s="630"/>
      <c r="D27" s="625"/>
      <c r="E27" s="625"/>
      <c r="H27" s="627" t="s">
        <v>718</v>
      </c>
      <c r="I27" s="760" t="str">
        <f>Data!C338</f>
        <v xml:space="preserve">Standard On-Board Sensors
• Supply Temperature
• Room Temperature
• Supply Pressure
Optional On-board sensors
• IAQ Sensor (CO₂ + RH)
</v>
      </c>
      <c r="J27" s="760"/>
      <c r="K27" s="760"/>
      <c r="L27" s="760"/>
      <c r="M27" s="760" t="str">
        <f>Data!D338</f>
        <v xml:space="preserve">HMI Options
• No wall stat selected
     • Room Temp
</v>
      </c>
      <c r="N27" s="760"/>
      <c r="O27" s="760"/>
      <c r="P27" s="760"/>
    </row>
    <row r="28" spans="1:16" ht="14.25" customHeight="1" x14ac:dyDescent="0.25">
      <c r="A28" s="630" t="s">
        <v>542</v>
      </c>
      <c r="B28" s="630" t="str">
        <f ca="1">"Category "&amp;Data!B316</f>
        <v>Category B</v>
      </c>
      <c r="C28" s="630"/>
      <c r="D28" s="634" t="s">
        <v>541</v>
      </c>
      <c r="I28" s="760"/>
      <c r="J28" s="760"/>
      <c r="K28" s="760"/>
      <c r="L28" s="760"/>
      <c r="M28" s="760"/>
      <c r="N28" s="760"/>
      <c r="O28" s="760"/>
      <c r="P28" s="760"/>
    </row>
    <row r="29" spans="1:16" ht="14.25" customHeight="1" x14ac:dyDescent="0.25">
      <c r="A29" s="630" t="s">
        <v>540</v>
      </c>
      <c r="B29" s="630" t="str">
        <f ca="1">Data!D317</f>
        <v>-0.2 &lt; PMV &lt; +0.2</v>
      </c>
      <c r="C29" s="630"/>
      <c r="D29" s="634" t="s">
        <v>543</v>
      </c>
      <c r="I29" s="760"/>
      <c r="J29" s="760"/>
      <c r="K29" s="760"/>
      <c r="L29" s="760"/>
      <c r="M29" s="760"/>
      <c r="N29" s="760"/>
      <c r="O29" s="760"/>
      <c r="P29" s="760"/>
    </row>
    <row r="30" spans="1:16" ht="14.25" customHeight="1" x14ac:dyDescent="0.25">
      <c r="D30" s="630"/>
      <c r="I30" s="760"/>
      <c r="J30" s="760"/>
      <c r="K30" s="760"/>
      <c r="L30" s="760"/>
      <c r="M30" s="760"/>
      <c r="N30" s="760"/>
      <c r="O30" s="760"/>
      <c r="P30" s="760"/>
    </row>
    <row r="31" spans="1:16" ht="14.25" customHeight="1" x14ac:dyDescent="0.25">
      <c r="A31" s="628" t="s">
        <v>525</v>
      </c>
      <c r="D31" s="630"/>
      <c r="I31" s="760"/>
      <c r="J31" s="760"/>
      <c r="K31" s="760"/>
      <c r="L31" s="760"/>
      <c r="M31" s="760"/>
      <c r="N31" s="760"/>
      <c r="O31" s="760"/>
      <c r="P31" s="760"/>
    </row>
    <row r="32" spans="1:16" ht="14.25" customHeight="1" x14ac:dyDescent="0.25">
      <c r="A32" s="630" t="s">
        <v>162</v>
      </c>
      <c r="B32" s="630" t="str">
        <f>Data!B274</f>
        <v>Closed Ceiling</v>
      </c>
      <c r="D32" s="630"/>
      <c r="I32" s="760"/>
      <c r="J32" s="760"/>
      <c r="K32" s="760"/>
      <c r="L32" s="760"/>
      <c r="M32" s="760"/>
      <c r="N32" s="760"/>
      <c r="O32" s="760"/>
      <c r="P32" s="760"/>
    </row>
    <row r="33" spans="1:16" ht="14.25" customHeight="1" x14ac:dyDescent="0.25">
      <c r="A33" s="625" t="str">
        <f ca="1">Data!B296</f>
        <v>C Max = 9.3 m/8.6 m (centre/perimeter zone)</v>
      </c>
      <c r="D33" s="625" t="str">
        <f>Data!B301</f>
        <v>Selected Diffuser Height = 2.7 m</v>
      </c>
      <c r="I33" s="663"/>
      <c r="J33" s="663"/>
      <c r="K33" s="663"/>
      <c r="L33" s="663"/>
      <c r="M33" s="640"/>
      <c r="N33" s="640"/>
      <c r="O33" s="640"/>
      <c r="P33" s="640"/>
    </row>
    <row r="34" spans="1:16" ht="14.25" customHeight="1" x14ac:dyDescent="0.25">
      <c r="A34" s="625" t="str">
        <f ca="1">Data!B297</f>
        <v>C Min = 2.5 m</v>
      </c>
      <c r="D34" s="625" t="str">
        <f ca="1">Data!B302</f>
        <v>Min Recommended Diffuser Height = 2.2 m</v>
      </c>
      <c r="H34" s="641" t="s">
        <v>544</v>
      </c>
    </row>
    <row r="35" spans="1:16" ht="14.25" customHeight="1" x14ac:dyDescent="0.25">
      <c r="A35" s="625" t="str">
        <f ca="1">Data!B298</f>
        <v>C Nominal = 5.9 m</v>
      </c>
      <c r="H35" s="644" t="str">
        <f ca="1">_productcode</f>
        <v>SMARTEMP HSC-VS-DN355-S595-KF250R1-SD200-RAL9003-SE-D0-SC-W0</v>
      </c>
      <c r="I35" s="644"/>
      <c r="J35" s="644"/>
      <c r="K35" s="644"/>
      <c r="L35" s="644"/>
      <c r="M35" s="644"/>
      <c r="N35" s="644"/>
      <c r="O35" s="644"/>
      <c r="P35" s="644"/>
    </row>
    <row r="36" spans="1:16" ht="14.25" customHeight="1" x14ac:dyDescent="0.25">
      <c r="A36" s="625" t="str">
        <f ca="1">Data!B299</f>
        <v>Nominal Specific Airflow Rate = 2.9 L/s/m²</v>
      </c>
      <c r="H36" s="635" t="s">
        <v>826</v>
      </c>
      <c r="I36" s="643" t="str">
        <f ca="1">_diffusercode</f>
        <v>SMARTEMP HSC-VS-DN355-S595-KF250R1-SD200</v>
      </c>
      <c r="J36" s="643"/>
      <c r="K36" s="643"/>
      <c r="L36" s="643"/>
      <c r="M36" s="643"/>
      <c r="N36" s="643"/>
      <c r="O36" s="643"/>
      <c r="P36" s="643"/>
    </row>
    <row r="37" spans="1:16" ht="14.25" customHeight="1" x14ac:dyDescent="0.25">
      <c r="H37" s="635" t="s">
        <v>799</v>
      </c>
      <c r="I37" s="643" t="str">
        <f>_acc.code</f>
        <v>-RAL9003-SE-D0-SC-W0</v>
      </c>
      <c r="J37" s="643"/>
      <c r="K37" s="643"/>
      <c r="L37" s="643"/>
      <c r="M37" s="643"/>
      <c r="N37" s="643"/>
      <c r="O37" s="643"/>
      <c r="P37" s="643"/>
    </row>
    <row r="38" spans="1:16" ht="14.25" customHeight="1" x14ac:dyDescent="0.25">
      <c r="H38" s="635"/>
      <c r="I38" s="643"/>
      <c r="J38" s="643"/>
      <c r="K38" s="643"/>
      <c r="L38" s="643"/>
      <c r="M38" s="643"/>
      <c r="N38" s="643"/>
      <c r="O38" s="643"/>
      <c r="P38" s="643"/>
    </row>
    <row r="39" spans="1:16" ht="14.25" customHeight="1" x14ac:dyDescent="0.25">
      <c r="H39" s="635"/>
      <c r="I39" s="643"/>
      <c r="J39" s="643"/>
      <c r="K39" s="643"/>
      <c r="L39" s="643"/>
      <c r="M39" s="643"/>
      <c r="N39" s="643"/>
      <c r="O39" s="643"/>
      <c r="P39" s="643"/>
    </row>
    <row r="40" spans="1:16" ht="14.25" customHeight="1" x14ac:dyDescent="0.25">
      <c r="H40" s="627" t="s">
        <v>1005</v>
      </c>
    </row>
    <row r="41" spans="1:16" ht="14.25" customHeight="1" x14ac:dyDescent="0.25">
      <c r="H41" s="760" t="s">
        <v>821</v>
      </c>
      <c r="I41" s="760"/>
      <c r="J41" s="760"/>
      <c r="K41" s="760"/>
      <c r="L41" s="760"/>
      <c r="M41" s="760"/>
      <c r="N41" s="760"/>
      <c r="O41" s="760"/>
      <c r="P41" s="760"/>
    </row>
    <row r="42" spans="1:16" ht="14.25" customHeight="1" x14ac:dyDescent="0.25">
      <c r="H42" s="760"/>
      <c r="I42" s="760"/>
      <c r="J42" s="760"/>
      <c r="K42" s="760"/>
      <c r="L42" s="760"/>
      <c r="M42" s="760"/>
      <c r="N42" s="760"/>
      <c r="O42" s="760"/>
      <c r="P42" s="760"/>
    </row>
    <row r="43" spans="1:16" ht="7.15" customHeight="1" x14ac:dyDescent="0.25">
      <c r="H43" s="760"/>
      <c r="I43" s="760"/>
      <c r="J43" s="760"/>
      <c r="K43" s="760"/>
      <c r="L43" s="760"/>
      <c r="M43" s="760"/>
      <c r="N43" s="760"/>
      <c r="O43" s="760"/>
      <c r="P43" s="760"/>
    </row>
    <row r="44" spans="1:16" ht="14.25" customHeight="1" x14ac:dyDescent="0.25">
      <c r="H44" s="761" t="s">
        <v>822</v>
      </c>
      <c r="I44" s="761"/>
      <c r="J44" s="761"/>
      <c r="K44" s="761"/>
      <c r="L44" s="761"/>
      <c r="M44" s="761"/>
      <c r="N44" s="761"/>
      <c r="O44" s="761"/>
      <c r="P44" s="761"/>
    </row>
    <row r="45" spans="1:16" ht="7.15" customHeight="1" x14ac:dyDescent="0.25">
      <c r="H45" s="761"/>
      <c r="I45" s="761"/>
      <c r="J45" s="761"/>
      <c r="K45" s="761"/>
      <c r="L45" s="761"/>
      <c r="M45" s="761"/>
      <c r="N45" s="761"/>
      <c r="O45" s="761"/>
      <c r="P45" s="761"/>
    </row>
    <row r="46" spans="1:16" ht="14.25" customHeight="1" x14ac:dyDescent="0.25">
      <c r="H46" s="760" t="s">
        <v>823</v>
      </c>
      <c r="I46" s="760"/>
      <c r="J46" s="760"/>
      <c r="K46" s="760"/>
      <c r="L46" s="760"/>
      <c r="M46" s="760"/>
      <c r="N46" s="760"/>
      <c r="O46" s="760"/>
      <c r="P46" s="760"/>
    </row>
    <row r="47" spans="1:16" ht="14.25" customHeight="1" x14ac:dyDescent="0.25">
      <c r="H47" s="760"/>
      <c r="I47" s="760"/>
      <c r="J47" s="760"/>
      <c r="K47" s="760"/>
      <c r="L47" s="760"/>
      <c r="M47" s="760"/>
      <c r="N47" s="760"/>
      <c r="O47" s="760"/>
      <c r="P47" s="760"/>
    </row>
    <row r="48" spans="1:16" ht="14.25" customHeight="1" x14ac:dyDescent="0.25">
      <c r="H48" s="662"/>
      <c r="I48" s="662"/>
      <c r="J48" s="662"/>
      <c r="K48" s="662"/>
      <c r="L48" s="662"/>
      <c r="M48" s="662"/>
      <c r="N48" s="662"/>
      <c r="O48" s="662"/>
      <c r="P48" s="662"/>
    </row>
    <row r="49" spans="8:16" ht="14.25" customHeight="1" x14ac:dyDescent="0.25">
      <c r="H49" s="662"/>
      <c r="I49" s="662"/>
      <c r="J49" s="662"/>
      <c r="K49" s="662"/>
      <c r="L49" s="662"/>
      <c r="M49" s="662"/>
      <c r="N49" s="662"/>
      <c r="O49" s="662"/>
      <c r="P49" s="642" t="str">
        <f>'HSC-VS'!X7</f>
        <v>v 4.1 [01/2026]</v>
      </c>
    </row>
    <row r="50" spans="8:16" ht="14.25" customHeight="1" x14ac:dyDescent="0.25">
      <c r="H50"/>
      <c r="I50"/>
      <c r="J50"/>
      <c r="K50"/>
      <c r="L50"/>
      <c r="M50"/>
      <c r="N50"/>
      <c r="O50"/>
    </row>
    <row r="51" spans="8:16" ht="14.25" customHeight="1" x14ac:dyDescent="0.25">
      <c r="H51" s="631"/>
      <c r="I51" s="631"/>
      <c r="J51" s="631"/>
      <c r="K51" s="631"/>
      <c r="L51" s="631"/>
      <c r="M51" s="631"/>
      <c r="N51" s="631"/>
      <c r="O51" s="631"/>
      <c r="P51" s="631"/>
    </row>
    <row r="52" spans="8:16" ht="14.25" customHeight="1" x14ac:dyDescent="0.25">
      <c r="H52" s="631"/>
      <c r="I52" s="631"/>
      <c r="J52" s="631"/>
      <c r="K52" s="631"/>
      <c r="L52" s="631"/>
      <c r="M52" s="631"/>
      <c r="N52" s="631"/>
      <c r="O52" s="631"/>
      <c r="P52" s="631"/>
    </row>
    <row r="53" spans="8:16" ht="14.25" customHeight="1" x14ac:dyDescent="0.25">
      <c r="H53" s="631"/>
      <c r="I53" s="631"/>
      <c r="J53" s="631"/>
      <c r="K53" s="631"/>
      <c r="L53" s="631"/>
      <c r="M53" s="631"/>
      <c r="N53" s="631"/>
      <c r="O53" s="631"/>
      <c r="P53" s="631"/>
    </row>
  </sheetData>
  <sheetProtection algorithmName="SHA-512" hashValue="cLVs9l6a7unHfwS2HR+C53FoZSiKv6ycoegDo7ThYoWSVOT0kz0YU6W0y7T3VTdXJRCnFQlHuK54MyFv8Yvn2A==" saltValue="jhmN+tIo1mKKmCD9hX6RPQ==" spinCount="100000" sheet="1" selectLockedCells="1"/>
  <mergeCells count="12">
    <mergeCell ref="B2:G2"/>
    <mergeCell ref="B3:G3"/>
    <mergeCell ref="B4:G4"/>
    <mergeCell ref="D16:G17"/>
    <mergeCell ref="D18:G19"/>
    <mergeCell ref="M27:P32"/>
    <mergeCell ref="H41:P43"/>
    <mergeCell ref="H44:P45"/>
    <mergeCell ref="H46:P47"/>
    <mergeCell ref="A16:A17"/>
    <mergeCell ref="I16:P26"/>
    <mergeCell ref="I27:L32"/>
  </mergeCells>
  <phoneticPr fontId="64" type="noConversion"/>
  <pageMargins left="0.7" right="0.7" top="0.75" bottom="0.75" header="0.3" footer="0.3"/>
  <pageSetup paperSize="9" orientation="portrait" horizontalDpi="1200" verticalDpi="1200" r:id="rId1"/>
  <headerFooter>
    <oddFooter>&amp;C&amp;10Page &amp;P of &amp;N&amp;R&amp;"+,Regular"&amp;10Copyright © 2024 SMARTAIR DIFFUSION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 id="{56A280DF-F9DF-4978-A28A-ADA994115CF3}">
            <xm:f>Data!$C$232&lt;Data!$C$234</xm:f>
            <x14:dxf>
              <font>
                <color rgb="FFC00000"/>
              </font>
            </x14:dxf>
          </x14:cfRule>
          <xm:sqref>B13:B14</xm:sqref>
        </x14:conditionalFormatting>
        <x14:conditionalFormatting xmlns:xm="http://schemas.microsoft.com/office/excel/2006/main">
          <x14:cfRule type="expression" priority="3" id="{6697E787-04F3-4711-B8EB-7EA83D5D1437}">
            <xm:f>NOT(Data!$K$367)</xm:f>
            <x14:dxf>
              <border>
                <right style="thin">
                  <color theme="0"/>
                </right>
                <top style="thin">
                  <color theme="0"/>
                </top>
                <bottom style="thin">
                  <color theme="0"/>
                </bottom>
                <vertical/>
                <horizontal/>
              </border>
            </x14:dxf>
          </x14:cfRule>
          <xm:sqref>M2:M3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CC979-F1C2-4D16-BECE-A0CA68CEA242}">
  <sheetPr codeName="Sheet7">
    <tabColor theme="9"/>
    <pageSetUpPr fitToPage="1"/>
  </sheetPr>
  <dimension ref="B3:O87"/>
  <sheetViews>
    <sheetView workbookViewId="0"/>
  </sheetViews>
  <sheetFormatPr defaultRowHeight="15" x14ac:dyDescent="0.25"/>
  <cols>
    <col min="2" max="2" width="17.5703125" customWidth="1"/>
    <col min="3" max="3" width="13.5703125" customWidth="1"/>
    <col min="4" max="7" width="12.140625" customWidth="1"/>
    <col min="8" max="8" width="19.5703125" customWidth="1"/>
    <col min="9" max="9" width="12.140625" customWidth="1"/>
    <col min="11" max="11" width="10.5703125" customWidth="1"/>
  </cols>
  <sheetData>
    <row r="3" spans="2:6" ht="15.75" thickBot="1" x14ac:dyDescent="0.3"/>
    <row r="4" spans="2:6" ht="18.75" x14ac:dyDescent="0.3">
      <c r="B4" s="214" t="s">
        <v>357</v>
      </c>
      <c r="C4" s="215"/>
      <c r="D4" s="216"/>
    </row>
    <row r="5" spans="2:6" x14ac:dyDescent="0.25">
      <c r="B5" s="217"/>
      <c r="C5" s="218"/>
      <c r="D5" s="219"/>
    </row>
    <row r="6" spans="2:6" ht="20.100000000000001" customHeight="1" x14ac:dyDescent="0.25">
      <c r="B6" s="220" t="s">
        <v>51</v>
      </c>
      <c r="C6" s="221">
        <v>220</v>
      </c>
      <c r="D6" s="222" t="s">
        <v>6</v>
      </c>
    </row>
    <row r="7" spans="2:6" x14ac:dyDescent="0.25">
      <c r="B7" s="223"/>
      <c r="C7" s="224"/>
      <c r="D7" s="225"/>
    </row>
    <row r="8" spans="2:6" ht="20.100000000000001" customHeight="1" x14ac:dyDescent="0.25">
      <c r="B8" s="220" t="s">
        <v>358</v>
      </c>
      <c r="C8" s="226">
        <v>15</v>
      </c>
      <c r="D8" s="227" t="str">
        <f>IF(C48=1,"%","L/s")</f>
        <v>%</v>
      </c>
      <c r="E8" s="768" t="s">
        <v>359</v>
      </c>
      <c r="F8" s="769"/>
    </row>
    <row r="9" spans="2:6" ht="18.600000000000001" customHeight="1" x14ac:dyDescent="0.25">
      <c r="B9" s="228"/>
      <c r="C9" s="224"/>
      <c r="D9" s="225"/>
      <c r="E9" s="770" t="s">
        <v>360</v>
      </c>
      <c r="F9" s="771"/>
    </row>
    <row r="10" spans="2:6" ht="20.100000000000001" customHeight="1" thickBot="1" x14ac:dyDescent="0.3">
      <c r="B10" s="229" t="s">
        <v>361</v>
      </c>
      <c r="C10" s="230">
        <v>-15</v>
      </c>
      <c r="D10" s="231" t="s">
        <v>10</v>
      </c>
    </row>
    <row r="11" spans="2:6" x14ac:dyDescent="0.25">
      <c r="B11" s="232"/>
      <c r="C11" s="232"/>
      <c r="D11" s="232"/>
    </row>
    <row r="12" spans="2:6" ht="15.75" thickBot="1" x14ac:dyDescent="0.3">
      <c r="B12" s="232"/>
      <c r="C12" s="232"/>
      <c r="D12" s="232"/>
    </row>
    <row r="13" spans="2:6" ht="18.75" x14ac:dyDescent="0.25">
      <c r="B13" s="233" t="s">
        <v>362</v>
      </c>
      <c r="C13" s="234"/>
      <c r="D13" s="235"/>
    </row>
    <row r="14" spans="2:6" x14ac:dyDescent="0.25">
      <c r="B14" s="223"/>
      <c r="C14" s="236"/>
      <c r="D14" s="237"/>
    </row>
    <row r="15" spans="2:6" ht="20.100000000000001" customHeight="1" x14ac:dyDescent="0.25">
      <c r="B15" s="220" t="s">
        <v>51</v>
      </c>
      <c r="C15" s="238">
        <f>C6</f>
        <v>220</v>
      </c>
      <c r="D15" s="239" t="s">
        <v>6</v>
      </c>
    </row>
    <row r="16" spans="2:6" x14ac:dyDescent="0.25">
      <c r="B16" s="223"/>
      <c r="C16" s="224"/>
      <c r="D16" s="225"/>
    </row>
    <row r="17" spans="2:15" ht="20.100000000000001" customHeight="1" x14ac:dyDescent="0.25">
      <c r="B17" s="220" t="s">
        <v>358</v>
      </c>
      <c r="C17" s="238">
        <f>C8</f>
        <v>15</v>
      </c>
      <c r="D17" s="227" t="str">
        <f>IF(C48=1,"%","L/s")</f>
        <v>%</v>
      </c>
    </row>
    <row r="18" spans="2:15" x14ac:dyDescent="0.25">
      <c r="B18" s="223"/>
      <c r="C18" s="224"/>
      <c r="D18" s="225"/>
    </row>
    <row r="19" spans="2:15" ht="20.100000000000001" customHeight="1" thickBot="1" x14ac:dyDescent="0.3">
      <c r="B19" s="229" t="s">
        <v>361</v>
      </c>
      <c r="C19" s="240">
        <f>C10</f>
        <v>-15</v>
      </c>
      <c r="D19" s="231" t="s">
        <v>10</v>
      </c>
    </row>
    <row r="20" spans="2:15" ht="15.75" thickBot="1" x14ac:dyDescent="0.3"/>
    <row r="21" spans="2:15" x14ac:dyDescent="0.25">
      <c r="B21" s="241"/>
      <c r="C21" s="242"/>
      <c r="D21" s="772" t="s">
        <v>363</v>
      </c>
      <c r="E21" s="772"/>
      <c r="F21" s="772"/>
      <c r="G21" s="773"/>
      <c r="K21" s="774" t="s">
        <v>364</v>
      </c>
      <c r="L21" s="775"/>
      <c r="N21" s="764" t="s">
        <v>365</v>
      </c>
      <c r="O21" s="765"/>
    </row>
    <row r="22" spans="2:15" x14ac:dyDescent="0.25">
      <c r="B22" s="244" t="s">
        <v>366</v>
      </c>
      <c r="C22" s="244"/>
      <c r="D22" s="245">
        <v>0.95</v>
      </c>
      <c r="E22" s="245">
        <v>0.9</v>
      </c>
      <c r="F22" s="245">
        <v>0.8</v>
      </c>
      <c r="G22" s="246">
        <v>0.7</v>
      </c>
      <c r="K22" s="247"/>
      <c r="L22" s="248"/>
      <c r="N22" s="247"/>
      <c r="O22" s="248"/>
    </row>
    <row r="23" spans="2:15" x14ac:dyDescent="0.25">
      <c r="B23" s="244" t="s">
        <v>367</v>
      </c>
      <c r="C23" s="244"/>
      <c r="D23" s="249">
        <f>$L$27</f>
        <v>0.53500000000000003</v>
      </c>
      <c r="E23" s="249">
        <f>$L$27</f>
        <v>0.53500000000000003</v>
      </c>
      <c r="F23" s="249">
        <f>$L$27</f>
        <v>0.53500000000000003</v>
      </c>
      <c r="G23" s="250">
        <f>$L$27</f>
        <v>0.53500000000000003</v>
      </c>
      <c r="K23" s="251" t="s">
        <v>339</v>
      </c>
      <c r="L23" s="252" t="s">
        <v>29</v>
      </c>
      <c r="N23" s="251" t="s">
        <v>342</v>
      </c>
      <c r="O23" s="252" t="s">
        <v>29</v>
      </c>
    </row>
    <row r="24" spans="2:15" x14ac:dyDescent="0.25">
      <c r="B24" s="244" t="s">
        <v>368</v>
      </c>
      <c r="C24" s="244"/>
      <c r="D24" s="249">
        <f>$O$26</f>
        <v>0.75</v>
      </c>
      <c r="E24" s="249">
        <f>$O$26</f>
        <v>0.75</v>
      </c>
      <c r="F24" s="249">
        <f>$O$26</f>
        <v>0.75</v>
      </c>
      <c r="G24" s="250">
        <f>$O$26</f>
        <v>0.75</v>
      </c>
      <c r="K24" s="253">
        <v>1</v>
      </c>
      <c r="L24" s="254">
        <v>1</v>
      </c>
      <c r="N24" s="255">
        <v>30</v>
      </c>
      <c r="O24" s="254">
        <v>0.75</v>
      </c>
    </row>
    <row r="25" spans="2:15" x14ac:dyDescent="0.25">
      <c r="B25" s="287" t="s">
        <v>369</v>
      </c>
      <c r="C25" s="287"/>
      <c r="D25" s="288">
        <v>1.27</v>
      </c>
      <c r="E25" s="288">
        <v>1</v>
      </c>
      <c r="F25" s="288">
        <v>0.7</v>
      </c>
      <c r="G25" s="289">
        <v>0.5</v>
      </c>
      <c r="H25" t="s">
        <v>370</v>
      </c>
      <c r="K25" s="256">
        <v>0.3</v>
      </c>
      <c r="L25" s="257">
        <v>0.53500000000000003</v>
      </c>
      <c r="N25" s="255">
        <v>5</v>
      </c>
      <c r="O25" s="254">
        <v>1</v>
      </c>
    </row>
    <row r="26" spans="2:15" ht="15.75" thickBot="1" x14ac:dyDescent="0.3">
      <c r="B26" s="258" t="s">
        <v>371</v>
      </c>
      <c r="C26" s="296" t="s">
        <v>391</v>
      </c>
      <c r="D26" s="259">
        <f>D25*D23*D24</f>
        <v>0.50958749999999997</v>
      </c>
      <c r="E26" s="259">
        <f>E25*E23*E24</f>
        <v>0.40125</v>
      </c>
      <c r="F26" s="259">
        <f>F25*F23*F24</f>
        <v>0.28087499999999999</v>
      </c>
      <c r="G26" s="260">
        <f>G25*G23*G24</f>
        <v>0.200625</v>
      </c>
      <c r="K26" s="261" t="s">
        <v>340</v>
      </c>
      <c r="L26" s="262">
        <f>L25</f>
        <v>0.53500000000000003</v>
      </c>
      <c r="N26" s="263" t="s">
        <v>29</v>
      </c>
      <c r="O26" s="264">
        <f>TREND(O24:O25,N24:N25,C78,1)</f>
        <v>0.75</v>
      </c>
    </row>
    <row r="27" spans="2:15" ht="15.75" thickBot="1" x14ac:dyDescent="0.3">
      <c r="B27" s="287" t="s">
        <v>372</v>
      </c>
      <c r="C27" s="287"/>
      <c r="D27" s="288">
        <v>1.01</v>
      </c>
      <c r="E27" s="288">
        <v>0.80800000000000005</v>
      </c>
      <c r="F27" s="288">
        <v>0.53800000000000003</v>
      </c>
      <c r="G27" s="289">
        <v>0.45100000000000001</v>
      </c>
      <c r="H27" t="s">
        <v>370</v>
      </c>
      <c r="K27" s="265" t="s">
        <v>29</v>
      </c>
      <c r="L27" s="266">
        <f>MAX(L26,TREND(L24:L25,K24:K25,C80,1))</f>
        <v>0.53500000000000003</v>
      </c>
    </row>
    <row r="28" spans="2:15" x14ac:dyDescent="0.25">
      <c r="B28" s="258" t="s">
        <v>373</v>
      </c>
      <c r="C28" s="296" t="s">
        <v>391</v>
      </c>
      <c r="D28" s="259">
        <f>D27*D23*D24</f>
        <v>0.40526249999999997</v>
      </c>
      <c r="E28" s="259">
        <f>E27*E23*E24</f>
        <v>0.32421000000000005</v>
      </c>
      <c r="F28" s="259">
        <f>F27*F23*F24</f>
        <v>0.21587250000000002</v>
      </c>
      <c r="G28" s="260">
        <f>G27*G23*G24</f>
        <v>0.18096375000000003</v>
      </c>
      <c r="K28" s="267"/>
      <c r="L28" s="268"/>
    </row>
    <row r="29" spans="2:15" x14ac:dyDescent="0.25">
      <c r="B29" s="243"/>
      <c r="C29" s="17"/>
      <c r="D29" s="17"/>
      <c r="E29" s="17"/>
      <c r="F29" s="17"/>
      <c r="G29" s="269"/>
    </row>
    <row r="30" spans="2:15" ht="18.75" x14ac:dyDescent="0.3">
      <c r="B30" s="270" t="s">
        <v>374</v>
      </c>
      <c r="C30" s="258"/>
      <c r="D30" s="766" t="s">
        <v>38</v>
      </c>
      <c r="E30" s="766"/>
      <c r="F30" s="766"/>
      <c r="G30" s="767"/>
    </row>
    <row r="31" spans="2:15" ht="18.75" x14ac:dyDescent="0.3">
      <c r="B31" s="270"/>
      <c r="C31" s="258" t="s">
        <v>375</v>
      </c>
      <c r="D31" s="271">
        <v>0.95</v>
      </c>
      <c r="E31" s="271">
        <v>0.9</v>
      </c>
      <c r="F31" s="271">
        <v>0.8</v>
      </c>
      <c r="G31" s="272">
        <v>0.7</v>
      </c>
    </row>
    <row r="32" spans="2:15" ht="16.899999999999999" customHeight="1" x14ac:dyDescent="0.25">
      <c r="B32" s="290" t="s">
        <v>388</v>
      </c>
      <c r="C32" s="291">
        <f>C79</f>
        <v>33</v>
      </c>
      <c r="D32" s="292">
        <f>SQRT($C$79/(D25*D23*D24)*12/ABS($C$10))</f>
        <v>7.1976807574463724</v>
      </c>
      <c r="E32" s="292">
        <f>SQRT($C$79/(E25*E23*E24)*12/ABS($C$10))</f>
        <v>8.1113742684803114</v>
      </c>
      <c r="F32" s="292">
        <f>SQRT($C$79/(F25*F23*F24)*12/ABS($C$10))</f>
        <v>9.6949465867065054</v>
      </c>
      <c r="G32" s="293">
        <f>SQRT($C$79/(G25*G23*G24)*12/ABS($C$10))</f>
        <v>11.471215499968999</v>
      </c>
    </row>
    <row r="33" spans="2:7" ht="16.899999999999999" customHeight="1" x14ac:dyDescent="0.25">
      <c r="B33" s="290" t="s">
        <v>390</v>
      </c>
      <c r="C33" s="291"/>
      <c r="D33" s="295">
        <f>$C$15*$C$17/100/D32^2</f>
        <v>0.63698437499999983</v>
      </c>
      <c r="E33" s="295">
        <f>$C$15*$C$17/100/E32^2</f>
        <v>0.5015624999999998</v>
      </c>
      <c r="F33" s="295">
        <f>$C$15*$C$17/100/F32^2</f>
        <v>0.35109374999999998</v>
      </c>
      <c r="G33" s="295">
        <f>$C$15*$C$17/100/G32^2</f>
        <v>0.2507812499999999</v>
      </c>
    </row>
    <row r="34" spans="2:7" ht="16.899999999999999" customHeight="1" x14ac:dyDescent="0.25">
      <c r="B34" s="273" t="s">
        <v>389</v>
      </c>
      <c r="C34" s="274">
        <f>C54</f>
        <v>33</v>
      </c>
      <c r="D34" s="275">
        <f>F59</f>
        <v>4.4422754718701958</v>
      </c>
      <c r="E34" s="275">
        <f>F60</f>
        <v>5.0051836341101339</v>
      </c>
      <c r="F34" s="275">
        <f>F61</f>
        <v>6.1657275801911977</v>
      </c>
      <c r="G34" s="276">
        <f>F62</f>
        <v>7.2968477236612967</v>
      </c>
    </row>
    <row r="35" spans="2:7" ht="16.899999999999999" customHeight="1" x14ac:dyDescent="0.25">
      <c r="B35" s="277" t="s">
        <v>376</v>
      </c>
      <c r="C35" s="278"/>
      <c r="D35" s="279">
        <f>E59</f>
        <v>1.3378054298642534</v>
      </c>
      <c r="E35" s="279">
        <f>E60</f>
        <v>1.053813833225598</v>
      </c>
      <c r="F35" s="279">
        <f>E61</f>
        <v>0.69444085326438276</v>
      </c>
      <c r="G35" s="280">
        <f>E62</f>
        <v>0.49583063994828691</v>
      </c>
    </row>
    <row r="36" spans="2:7" ht="16.899999999999999" customHeight="1" x14ac:dyDescent="0.25">
      <c r="B36" s="273" t="s">
        <v>377</v>
      </c>
      <c r="C36" s="274">
        <f>C79</f>
        <v>33</v>
      </c>
      <c r="D36" s="275">
        <f>SQRT($C$79/(D27*D23*D24)*12/ABS($C$10))</f>
        <v>8.0711190608502541</v>
      </c>
      <c r="E36" s="275">
        <f>SQRT($C$79/(E27*E23*E24)*12/ABS($C$10))</f>
        <v>9.0237854372777129</v>
      </c>
      <c r="F36" s="275">
        <f>SQRT($C$79/(F27*F23*F24)*12/ABS($C$10))</f>
        <v>11.058680296252781</v>
      </c>
      <c r="G36" s="276">
        <f>SQRT($C$79/(G27*G23*G24)*12/ABS($C$10))</f>
        <v>12.078309939939558</v>
      </c>
    </row>
    <row r="37" spans="2:7" ht="16.899999999999999" customHeight="1" x14ac:dyDescent="0.25">
      <c r="B37" s="290" t="s">
        <v>390</v>
      </c>
      <c r="C37" s="294"/>
      <c r="D37" s="295">
        <f t="shared" ref="D37" si="0">$C$15*$C$17/100/D36^2</f>
        <v>0.50657812499999988</v>
      </c>
      <c r="E37" s="295">
        <f>$C$15*$C$17/100/E36^2</f>
        <v>0.40526250000000014</v>
      </c>
      <c r="F37" s="295">
        <f t="shared" ref="F37:G37" si="1">$C$15*$C$17/100/F36^2</f>
        <v>0.26984062500000006</v>
      </c>
      <c r="G37" s="295">
        <f t="shared" si="1"/>
        <v>0.22620468750000006</v>
      </c>
    </row>
    <row r="38" spans="2:7" ht="16.899999999999999" customHeight="1" x14ac:dyDescent="0.25">
      <c r="B38" s="273" t="s">
        <v>378</v>
      </c>
      <c r="C38" s="274">
        <f>C54</f>
        <v>33</v>
      </c>
      <c r="D38" s="275">
        <f>F67</f>
        <v>4.975452994397938</v>
      </c>
      <c r="E38" s="275">
        <f>F68</f>
        <v>5.5682394229073804</v>
      </c>
      <c r="F38" s="275">
        <f>F69</f>
        <v>6.8218330428663121</v>
      </c>
      <c r="G38" s="276">
        <f>F70</f>
        <v>7.4358310189927579</v>
      </c>
    </row>
    <row r="39" spans="2:7" ht="16.899999999999999" customHeight="1" thickBot="1" x14ac:dyDescent="0.3">
      <c r="B39" s="281" t="s">
        <v>376</v>
      </c>
      <c r="C39" s="282"/>
      <c r="D39" s="283">
        <f>E67</f>
        <v>1.0664455138978652</v>
      </c>
      <c r="E39" s="283">
        <f>E68</f>
        <v>0.85146759696186092</v>
      </c>
      <c r="F39" s="283">
        <f>E69</f>
        <v>0.56728559308338822</v>
      </c>
      <c r="G39" s="284">
        <f>E70</f>
        <v>0.47746869586296009</v>
      </c>
    </row>
    <row r="41" spans="2:7" x14ac:dyDescent="0.25">
      <c r="E41">
        <f>E28/E26</f>
        <v>0.80800000000000016</v>
      </c>
      <c r="F41">
        <f t="shared" ref="F41:G41" si="2">F28/F26</f>
        <v>0.76857142857142868</v>
      </c>
      <c r="G41">
        <f t="shared" si="2"/>
        <v>0.90200000000000014</v>
      </c>
    </row>
    <row r="42" spans="2:7" x14ac:dyDescent="0.25">
      <c r="E42">
        <f>E32/E36</f>
        <v>0.89888820216976961</v>
      </c>
      <c r="F42">
        <f t="shared" ref="F42:G42" si="3">F32/F36</f>
        <v>0.87668205671807198</v>
      </c>
      <c r="G42">
        <f t="shared" si="3"/>
        <v>0.94973680564670149</v>
      </c>
    </row>
    <row r="43" spans="2:7" x14ac:dyDescent="0.25">
      <c r="E43">
        <f>SQRT(E41)</f>
        <v>0.89888820216976939</v>
      </c>
      <c r="F43">
        <f t="shared" ref="F43:G43" si="4">SQRT(F41)</f>
        <v>0.87668205671807198</v>
      </c>
      <c r="G43">
        <f t="shared" si="4"/>
        <v>0.94973680564670138</v>
      </c>
    </row>
    <row r="48" spans="2:7" x14ac:dyDescent="0.25">
      <c r="B48" t="s">
        <v>379</v>
      </c>
      <c r="C48">
        <v>1</v>
      </c>
    </row>
    <row r="50" spans="2:6" x14ac:dyDescent="0.25">
      <c r="B50" s="1" t="s">
        <v>380</v>
      </c>
    </row>
    <row r="51" spans="2:6" x14ac:dyDescent="0.25">
      <c r="B51" t="s">
        <v>191</v>
      </c>
      <c r="C51" t="s">
        <v>146</v>
      </c>
    </row>
    <row r="52" spans="2:6" x14ac:dyDescent="0.25">
      <c r="B52">
        <v>221</v>
      </c>
      <c r="C52">
        <v>66.3</v>
      </c>
    </row>
    <row r="54" spans="2:6" x14ac:dyDescent="0.25">
      <c r="B54" t="s">
        <v>387</v>
      </c>
      <c r="C54">
        <f>IF(C48=1,C6*C17/100,C17)</f>
        <v>33</v>
      </c>
      <c r="D54" t="s">
        <v>6</v>
      </c>
    </row>
    <row r="57" spans="2:6" x14ac:dyDescent="0.25">
      <c r="B57" s="1" t="s">
        <v>381</v>
      </c>
    </row>
    <row r="58" spans="2:6" x14ac:dyDescent="0.25">
      <c r="B58" t="s">
        <v>199</v>
      </c>
      <c r="C58" t="s">
        <v>200</v>
      </c>
      <c r="D58" t="s">
        <v>201</v>
      </c>
      <c r="E58" t="s">
        <v>207</v>
      </c>
      <c r="F58" s="157" t="s">
        <v>38</v>
      </c>
    </row>
    <row r="59" spans="2:6" x14ac:dyDescent="0.25">
      <c r="B59" s="12">
        <v>0.95</v>
      </c>
      <c r="C59">
        <v>0.95499999999999996</v>
      </c>
      <c r="D59">
        <v>1.27</v>
      </c>
      <c r="E59" s="285">
        <f>TREND(C59:D59,$B$52:$C$52,$C$54,1)</f>
        <v>1.3378054298642534</v>
      </c>
      <c r="F59" s="157">
        <f>SQRT($C$54/E59*12/ABS($C$19))</f>
        <v>4.4422754718701958</v>
      </c>
    </row>
    <row r="60" spans="2:6" x14ac:dyDescent="0.25">
      <c r="B60" s="12">
        <v>0.9</v>
      </c>
      <c r="C60">
        <v>0.75</v>
      </c>
      <c r="D60">
        <v>1</v>
      </c>
      <c r="E60" s="285">
        <f>TREND(C60:D60,$B$52:$C$52,$C$54,1)</f>
        <v>1.053813833225598</v>
      </c>
      <c r="F60" s="157">
        <f>SQRT($C$54/E60*12/ABS($C$19))</f>
        <v>5.0051836341101339</v>
      </c>
    </row>
    <row r="61" spans="2:6" x14ac:dyDescent="0.25">
      <c r="B61" s="12">
        <v>0.8</v>
      </c>
      <c r="C61">
        <v>0.5</v>
      </c>
      <c r="D61">
        <v>0.66</v>
      </c>
      <c r="E61" s="285">
        <f>TREND(C61:D61,$B$52:$C$52,$C$54,1)</f>
        <v>0.69444085326438276</v>
      </c>
      <c r="F61" s="157">
        <f>SQRT($C$54/E61*12/ABS($C$19))</f>
        <v>6.1657275801911977</v>
      </c>
    </row>
    <row r="62" spans="2:6" x14ac:dyDescent="0.25">
      <c r="B62" s="140">
        <v>0.7</v>
      </c>
      <c r="C62" s="141">
        <v>0.35</v>
      </c>
      <c r="D62" s="141">
        <v>0.47</v>
      </c>
      <c r="E62" s="285">
        <f>TREND(C62:D62,$B$52:$C$52,$C$54,1)</f>
        <v>0.49583063994828691</v>
      </c>
      <c r="F62" s="157">
        <f>SQRT($C$54/E62*12/ABS($C$19))</f>
        <v>7.2968477236612967</v>
      </c>
    </row>
    <row r="63" spans="2:6" x14ac:dyDescent="0.25">
      <c r="B63" t="s">
        <v>205</v>
      </c>
      <c r="C63" s="1"/>
    </row>
    <row r="64" spans="2:6" x14ac:dyDescent="0.25">
      <c r="B64" t="s">
        <v>206</v>
      </c>
      <c r="C64" s="1"/>
    </row>
    <row r="65" spans="2:6" x14ac:dyDescent="0.25">
      <c r="B65" s="1" t="s">
        <v>382</v>
      </c>
    </row>
    <row r="66" spans="2:6" x14ac:dyDescent="0.25">
      <c r="B66" t="s">
        <v>199</v>
      </c>
      <c r="C66" t="s">
        <v>200</v>
      </c>
      <c r="D66" t="s">
        <v>201</v>
      </c>
      <c r="E66" t="s">
        <v>207</v>
      </c>
      <c r="F66" s="157" t="s">
        <v>38</v>
      </c>
    </row>
    <row r="67" spans="2:6" x14ac:dyDescent="0.25">
      <c r="B67" s="12">
        <v>0.95</v>
      </c>
      <c r="C67">
        <f>6.623*(B67-0.05)^2-8.55*(B67-0.05)+3.09</f>
        <v>0.7596299999999987</v>
      </c>
      <c r="D67">
        <f>9.17*(B67-0.05)^2-11.971*(B67-0.05)+4.3583</f>
        <v>1.0120999999999984</v>
      </c>
      <c r="E67" s="285">
        <f>TREND(C67:D67,$B$52:$C$52,$C$54,1)</f>
        <v>1.0664455138978652</v>
      </c>
      <c r="F67" s="157">
        <f>SQRT($C$54/E67*12/ABS($C$19))</f>
        <v>4.975452994397938</v>
      </c>
    </row>
    <row r="68" spans="2:6" x14ac:dyDescent="0.25">
      <c r="B68" s="12">
        <v>0.9</v>
      </c>
      <c r="C68">
        <f>6.623*(B68-0.05)^2-8.55*(B68-0.05)+3.09</f>
        <v>0.60761749999999903</v>
      </c>
      <c r="D68">
        <f>9.17*(B68-0.05)^2-11.971*(B68-0.05)+4.3583</f>
        <v>0.80827499999999919</v>
      </c>
      <c r="E68" s="285">
        <f>TREND(C68:D68,$B$52:$C$52,$C$54,1)</f>
        <v>0.85146759696186092</v>
      </c>
      <c r="F68" s="157">
        <f>SQRT($C$54/E68*12/ABS($C$19))</f>
        <v>5.5682394229073804</v>
      </c>
    </row>
    <row r="69" spans="2:6" x14ac:dyDescent="0.25">
      <c r="B69" s="12">
        <v>0.8</v>
      </c>
      <c r="C69">
        <f>6.623*(B69-0.05)^2-8.55*(B69-0.05)+3.09</f>
        <v>0.40293749999999928</v>
      </c>
      <c r="D69">
        <f>9.17*(B69-0.05)^2-11.971*(B69-0.05)+4.3583</f>
        <v>0.53817500000000074</v>
      </c>
      <c r="E69" s="285">
        <f>TREND(C69:D69,$B$52:$C$52,$C$54,1)</f>
        <v>0.56728559308338822</v>
      </c>
      <c r="F69" s="157">
        <f>SQRT($C$54/E69*12/ABS($C$19))</f>
        <v>6.8218330428663121</v>
      </c>
    </row>
    <row r="70" spans="2:6" x14ac:dyDescent="0.25">
      <c r="B70" s="140">
        <v>0.7</v>
      </c>
      <c r="C70" s="141">
        <f>6.623*(B70-0.05)^2-8.55*(B70-0.05)+3.09</f>
        <v>0.33071749999999911</v>
      </c>
      <c r="D70" s="141">
        <f>9.17*(B70-0.05)^2-11.971*(B70-0.05)+4.3583</f>
        <v>0.4514749999999994</v>
      </c>
      <c r="E70" s="285">
        <f>TREND(C70:D70,$B$52:$C$52,$C$54,1)</f>
        <v>0.47746869586296009</v>
      </c>
      <c r="F70" s="157">
        <f>SQRT($C$54/E70*12/ABS($C$19))</f>
        <v>7.4358310189927579</v>
      </c>
    </row>
    <row r="71" spans="2:6" x14ac:dyDescent="0.25">
      <c r="B71" t="s">
        <v>205</v>
      </c>
      <c r="C71" s="1"/>
    </row>
    <row r="72" spans="2:6" x14ac:dyDescent="0.25">
      <c r="B72" t="s">
        <v>206</v>
      </c>
      <c r="C72" s="1"/>
    </row>
    <row r="77" spans="2:6" x14ac:dyDescent="0.25">
      <c r="B77" s="1" t="s">
        <v>366</v>
      </c>
    </row>
    <row r="78" spans="2:6" x14ac:dyDescent="0.25">
      <c r="B78" t="s">
        <v>342</v>
      </c>
      <c r="C78">
        <f>30*(C6/220)^2</f>
        <v>30</v>
      </c>
    </row>
    <row r="79" spans="2:6" x14ac:dyDescent="0.25">
      <c r="B79" t="s">
        <v>146</v>
      </c>
      <c r="C79">
        <f>IF(C48=1,C6*C8/100,C8)</f>
        <v>33</v>
      </c>
      <c r="D79" t="s">
        <v>6</v>
      </c>
    </row>
    <row r="80" spans="2:6" x14ac:dyDescent="0.25">
      <c r="B80" t="s">
        <v>383</v>
      </c>
      <c r="C80" s="161">
        <f>C79/C6</f>
        <v>0.15</v>
      </c>
    </row>
    <row r="82" spans="2:7" x14ac:dyDescent="0.25">
      <c r="E82" s="157" t="s">
        <v>384</v>
      </c>
      <c r="G82" t="s">
        <v>385</v>
      </c>
    </row>
    <row r="83" spans="2:7" x14ac:dyDescent="0.25">
      <c r="B83" t="s">
        <v>199</v>
      </c>
      <c r="C83" t="s">
        <v>200</v>
      </c>
      <c r="D83" t="s">
        <v>201</v>
      </c>
      <c r="E83" s="157" t="s">
        <v>191</v>
      </c>
      <c r="F83" s="164" t="s">
        <v>386</v>
      </c>
      <c r="G83" s="157"/>
    </row>
    <row r="84" spans="2:7" x14ac:dyDescent="0.25">
      <c r="B84" s="12">
        <v>0.95</v>
      </c>
      <c r="C84">
        <v>0.95499999999999996</v>
      </c>
      <c r="D84">
        <v>1.27</v>
      </c>
      <c r="E84" s="157">
        <f>C84/$C$85</f>
        <v>1.2733333333333332</v>
      </c>
      <c r="F84" s="286">
        <f>$D$85/D84</f>
        <v>0.78740157480314954</v>
      </c>
      <c r="G84" s="157">
        <f>1/SQRT(E84)</f>
        <v>0.88619428690108681</v>
      </c>
    </row>
    <row r="85" spans="2:7" x14ac:dyDescent="0.25">
      <c r="B85" s="12">
        <v>0.9</v>
      </c>
      <c r="C85">
        <v>0.75</v>
      </c>
      <c r="D85">
        <v>1</v>
      </c>
      <c r="E85" s="157">
        <f>C85/$C$85</f>
        <v>1</v>
      </c>
      <c r="F85" s="286">
        <f>$D$85/D85</f>
        <v>1</v>
      </c>
      <c r="G85" s="157">
        <f t="shared" ref="G85:G87" si="5">1/SQRT(E85)</f>
        <v>1</v>
      </c>
    </row>
    <row r="86" spans="2:7" x14ac:dyDescent="0.25">
      <c r="B86" s="12">
        <v>0.8</v>
      </c>
      <c r="C86">
        <v>0.5</v>
      </c>
      <c r="D86">
        <v>0.66</v>
      </c>
      <c r="E86" s="157">
        <f t="shared" ref="E86:E87" si="6">C86/$C$85</f>
        <v>0.66666666666666663</v>
      </c>
      <c r="F86" s="286">
        <f>$D$85/D86</f>
        <v>1.5151515151515151</v>
      </c>
      <c r="G86" s="157">
        <f t="shared" si="5"/>
        <v>1.2247448713915889</v>
      </c>
    </row>
    <row r="87" spans="2:7" x14ac:dyDescent="0.25">
      <c r="B87" s="140">
        <v>0.7</v>
      </c>
      <c r="C87" s="141">
        <v>0.35</v>
      </c>
      <c r="D87" s="141">
        <v>0.47</v>
      </c>
      <c r="E87" s="157">
        <f t="shared" si="6"/>
        <v>0.46666666666666662</v>
      </c>
      <c r="F87" s="286">
        <f>$D$85/D87</f>
        <v>2.1276595744680851</v>
      </c>
      <c r="G87" s="157">
        <f t="shared" si="5"/>
        <v>1.4638501094227998</v>
      </c>
    </row>
  </sheetData>
  <mergeCells count="6">
    <mergeCell ref="N21:O21"/>
    <mergeCell ref="D30:G30"/>
    <mergeCell ref="E8:F8"/>
    <mergeCell ref="E9:F9"/>
    <mergeCell ref="D21:G21"/>
    <mergeCell ref="K21:L21"/>
  </mergeCells>
  <pageMargins left="0.7" right="0.7" top="0.75" bottom="0.75" header="0.3" footer="0.3"/>
  <pageSetup paperSize="9" fitToHeight="0"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5601" r:id="rId3" name="Option Button 1">
              <controlPr defaultSize="0" autoFill="0" autoLine="0" autoPict="0">
                <anchor moveWithCells="1">
                  <from>
                    <xdr:col>4</xdr:col>
                    <xdr:colOff>95250</xdr:colOff>
                    <xdr:row>6</xdr:row>
                    <xdr:rowOff>171450</xdr:rowOff>
                  </from>
                  <to>
                    <xdr:col>5</xdr:col>
                    <xdr:colOff>581025</xdr:colOff>
                    <xdr:row>7</xdr:row>
                    <xdr:rowOff>228600</xdr:rowOff>
                  </to>
                </anchor>
              </controlPr>
            </control>
          </mc:Choice>
        </mc:AlternateContent>
        <mc:AlternateContent xmlns:mc="http://schemas.openxmlformats.org/markup-compatibility/2006">
          <mc:Choice Requires="x14">
            <control shapeId="25602" r:id="rId4" name="Option Button 2">
              <controlPr defaultSize="0" autoFill="0" autoLine="0" autoPict="0">
                <anchor moveWithCells="1">
                  <from>
                    <xdr:col>4</xdr:col>
                    <xdr:colOff>95250</xdr:colOff>
                    <xdr:row>8</xdr:row>
                    <xdr:rowOff>28575</xdr:rowOff>
                  </from>
                  <to>
                    <xdr:col>5</xdr:col>
                    <xdr:colOff>561975</xdr:colOff>
                    <xdr:row>8</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BF667-94B6-4F4E-B863-CBE8DC9D0C29}">
  <sheetPr codeName="Sheet8">
    <tabColor theme="9"/>
  </sheetPr>
  <dimension ref="A1:J34"/>
  <sheetViews>
    <sheetView workbookViewId="0"/>
  </sheetViews>
  <sheetFormatPr defaultRowHeight="15" x14ac:dyDescent="0.25"/>
  <sheetData>
    <row r="1" spans="1:10" ht="75" x14ac:dyDescent="0.25">
      <c r="A1" s="336" t="s">
        <v>186</v>
      </c>
      <c r="B1" s="329"/>
      <c r="C1" s="329"/>
      <c r="D1" s="329"/>
      <c r="E1" s="329"/>
      <c r="F1" s="329"/>
      <c r="G1" s="329"/>
      <c r="H1" s="329"/>
      <c r="I1" s="329"/>
      <c r="J1" s="329"/>
    </row>
    <row r="2" spans="1:10" ht="14.45" customHeight="1" x14ac:dyDescent="0.25">
      <c r="A2" s="379" t="s">
        <v>489</v>
      </c>
      <c r="B2" s="330"/>
      <c r="C2" s="330"/>
      <c r="D2" s="330"/>
      <c r="E2" s="359" t="s">
        <v>185</v>
      </c>
      <c r="F2" s="754" t="s">
        <v>182</v>
      </c>
      <c r="G2" s="759"/>
      <c r="H2" s="755"/>
      <c r="I2" s="337"/>
      <c r="J2" s="776" t="s">
        <v>493</v>
      </c>
    </row>
    <row r="3" spans="1:10" ht="49.5" x14ac:dyDescent="0.25">
      <c r="A3" s="136"/>
      <c r="B3" s="331" t="s">
        <v>482</v>
      </c>
      <c r="C3" s="340" t="s">
        <v>487</v>
      </c>
      <c r="D3" s="340"/>
      <c r="E3" s="360" t="s">
        <v>184</v>
      </c>
      <c r="F3" s="358" t="s">
        <v>175</v>
      </c>
      <c r="G3" s="331" t="s">
        <v>183</v>
      </c>
      <c r="H3" s="361" t="s">
        <v>176</v>
      </c>
      <c r="I3" s="340" t="s">
        <v>495</v>
      </c>
      <c r="J3" s="776"/>
    </row>
    <row r="4" spans="1:10" ht="18.75" x14ac:dyDescent="0.25">
      <c r="A4" s="136"/>
      <c r="B4" s="371" t="s">
        <v>187</v>
      </c>
      <c r="C4" s="371" t="s">
        <v>488</v>
      </c>
      <c r="D4" s="371" t="s">
        <v>522</v>
      </c>
      <c r="E4" s="372" t="s">
        <v>484</v>
      </c>
      <c r="F4" s="373" t="s">
        <v>483</v>
      </c>
      <c r="G4" s="374" t="s">
        <v>485</v>
      </c>
      <c r="H4" s="375" t="s">
        <v>486</v>
      </c>
      <c r="I4" s="371"/>
      <c r="J4" s="777"/>
    </row>
    <row r="5" spans="1:10" ht="15.75" x14ac:dyDescent="0.25">
      <c r="A5" s="136" t="s">
        <v>177</v>
      </c>
      <c r="B5" s="333">
        <v>200</v>
      </c>
      <c r="C5" s="333">
        <v>50</v>
      </c>
      <c r="D5" s="333">
        <f>B5-C5-F5</f>
        <v>25</v>
      </c>
      <c r="E5" s="366"/>
      <c r="F5" s="357">
        <v>125</v>
      </c>
      <c r="G5" s="333">
        <v>62.5</v>
      </c>
      <c r="H5" s="362">
        <v>163</v>
      </c>
      <c r="I5" s="198">
        <v>1.6984235283469817E-2</v>
      </c>
      <c r="J5" s="335">
        <f>I5*3*1000</f>
        <v>50.952705850409451</v>
      </c>
    </row>
    <row r="6" spans="1:10" ht="15.75" x14ac:dyDescent="0.25">
      <c r="A6" s="136" t="s">
        <v>178</v>
      </c>
      <c r="B6" s="333">
        <v>200</v>
      </c>
      <c r="C6" s="333">
        <v>50</v>
      </c>
      <c r="D6" s="333">
        <f t="shared" ref="D6:D8" si="0">B6-C6-F6</f>
        <v>25</v>
      </c>
      <c r="E6" s="367"/>
      <c r="F6" s="357">
        <v>125</v>
      </c>
      <c r="G6" s="333">
        <v>62.5</v>
      </c>
      <c r="H6" s="362">
        <v>241</v>
      </c>
      <c r="I6" s="198">
        <v>2.6801712325937921E-2</v>
      </c>
      <c r="J6" s="335">
        <f t="shared" ref="J6:J8" si="1">I6*3*1000</f>
        <v>80.405136977813768</v>
      </c>
    </row>
    <row r="7" spans="1:10" ht="15.75" x14ac:dyDescent="0.25">
      <c r="A7" s="136" t="s">
        <v>2</v>
      </c>
      <c r="B7" s="333">
        <v>200</v>
      </c>
      <c r="C7" s="333">
        <v>50</v>
      </c>
      <c r="D7" s="333">
        <f t="shared" si="0"/>
        <v>25</v>
      </c>
      <c r="E7" s="367"/>
      <c r="F7" s="357">
        <v>125</v>
      </c>
      <c r="G7" s="333">
        <v>62.5</v>
      </c>
      <c r="H7" s="362">
        <v>320</v>
      </c>
      <c r="I7" s="198">
        <v>3.6619189368406024E-2</v>
      </c>
      <c r="J7" s="335">
        <f t="shared" si="1"/>
        <v>109.85756810521808</v>
      </c>
    </row>
    <row r="8" spans="1:10" ht="15.75" x14ac:dyDescent="0.25">
      <c r="A8" s="136" t="s">
        <v>179</v>
      </c>
      <c r="B8" s="333">
        <v>200</v>
      </c>
      <c r="C8" s="333">
        <v>50</v>
      </c>
      <c r="D8" s="333">
        <f t="shared" si="0"/>
        <v>25</v>
      </c>
      <c r="E8" s="367"/>
      <c r="F8" s="357">
        <v>125</v>
      </c>
      <c r="G8" s="333">
        <v>62.5</v>
      </c>
      <c r="H8" s="362">
        <v>398</v>
      </c>
      <c r="I8" s="198">
        <v>4.6436666410874128E-2</v>
      </c>
      <c r="J8" s="335">
        <f t="shared" si="1"/>
        <v>139.30999923262237</v>
      </c>
    </row>
    <row r="9" spans="1:10" ht="15.75" x14ac:dyDescent="0.25">
      <c r="A9" s="136"/>
      <c r="B9" s="333"/>
      <c r="C9" s="17"/>
      <c r="D9" s="17"/>
      <c r="E9" s="333"/>
      <c r="F9" s="333"/>
      <c r="G9" s="333"/>
      <c r="H9" s="333"/>
      <c r="I9" s="198"/>
      <c r="J9" s="198"/>
    </row>
    <row r="10" spans="1:10" x14ac:dyDescent="0.25">
      <c r="A10" s="17"/>
      <c r="B10" s="17"/>
      <c r="C10" s="17"/>
      <c r="D10" s="17"/>
      <c r="E10" s="17"/>
      <c r="F10" s="17"/>
      <c r="G10" s="17"/>
      <c r="H10" s="17"/>
      <c r="I10" s="198"/>
      <c r="J10" s="198"/>
    </row>
    <row r="11" spans="1:10" ht="14.45" customHeight="1" x14ac:dyDescent="0.25">
      <c r="A11" s="379" t="s">
        <v>490</v>
      </c>
      <c r="B11" s="330"/>
      <c r="C11" s="17"/>
      <c r="D11" s="17"/>
      <c r="E11" s="359" t="s">
        <v>185</v>
      </c>
      <c r="F11" s="754" t="s">
        <v>182</v>
      </c>
      <c r="G11" s="759"/>
      <c r="H11" s="755"/>
      <c r="I11" s="341"/>
      <c r="J11" s="776" t="s">
        <v>493</v>
      </c>
    </row>
    <row r="12" spans="1:10" ht="49.5" x14ac:dyDescent="0.25">
      <c r="A12" s="336"/>
      <c r="B12" s="331" t="s">
        <v>482</v>
      </c>
      <c r="C12" s="340" t="s">
        <v>487</v>
      </c>
      <c r="D12" s="340"/>
      <c r="E12" s="360" t="s">
        <v>184</v>
      </c>
      <c r="F12" s="358" t="s">
        <v>175</v>
      </c>
      <c r="G12" s="331" t="s">
        <v>183</v>
      </c>
      <c r="H12" s="361" t="s">
        <v>176</v>
      </c>
      <c r="I12" s="340" t="s">
        <v>495</v>
      </c>
      <c r="J12" s="776"/>
    </row>
    <row r="13" spans="1:10" ht="18.75" x14ac:dyDescent="0.25">
      <c r="A13" s="336"/>
      <c r="B13" s="371" t="s">
        <v>187</v>
      </c>
      <c r="C13" s="371" t="s">
        <v>488</v>
      </c>
      <c r="D13" s="371" t="s">
        <v>522</v>
      </c>
      <c r="E13" s="372" t="s">
        <v>484</v>
      </c>
      <c r="F13" s="373" t="s">
        <v>483</v>
      </c>
      <c r="G13" s="374" t="s">
        <v>485</v>
      </c>
      <c r="H13" s="375" t="s">
        <v>486</v>
      </c>
      <c r="I13" s="376"/>
      <c r="J13" s="777"/>
    </row>
    <row r="14" spans="1:10" ht="15.75" x14ac:dyDescent="0.25">
      <c r="A14" s="136" t="s">
        <v>177</v>
      </c>
      <c r="B14" s="333">
        <v>250</v>
      </c>
      <c r="C14" s="333">
        <v>61</v>
      </c>
      <c r="D14" s="333">
        <f>B14-C14-E14</f>
        <v>40</v>
      </c>
      <c r="E14" s="359">
        <v>149</v>
      </c>
      <c r="F14" s="368"/>
      <c r="G14" s="369"/>
      <c r="H14" s="370"/>
      <c r="I14" s="198">
        <f>PI()*(E14/2000)^2</f>
        <v>1.7436624625586747E-2</v>
      </c>
      <c r="J14" s="335">
        <f>I14*3*1000</f>
        <v>52.309873876760243</v>
      </c>
    </row>
    <row r="15" spans="1:10" ht="15.75" x14ac:dyDescent="0.25">
      <c r="A15" s="136" t="s">
        <v>178</v>
      </c>
      <c r="B15" s="333">
        <v>250</v>
      </c>
      <c r="C15" s="344">
        <v>61</v>
      </c>
      <c r="D15" s="333">
        <f>B15-C15-F15</f>
        <v>38</v>
      </c>
      <c r="E15" s="367"/>
      <c r="F15" s="357">
        <v>151</v>
      </c>
      <c r="G15" s="333">
        <v>75.5</v>
      </c>
      <c r="H15" s="362">
        <v>226</v>
      </c>
      <c r="I15" s="198">
        <v>2.9292995300234624E-2</v>
      </c>
      <c r="J15" s="335">
        <f t="shared" ref="J15:J18" si="2">I15*3*1000</f>
        <v>87.878985900703867</v>
      </c>
    </row>
    <row r="16" spans="1:10" ht="15.75" x14ac:dyDescent="0.25">
      <c r="A16" s="136" t="s">
        <v>2</v>
      </c>
      <c r="B16" s="333">
        <v>250</v>
      </c>
      <c r="C16" s="344">
        <v>41</v>
      </c>
      <c r="D16" s="333">
        <f t="shared" ref="D16:D18" si="3">B16-C16-F16</f>
        <v>33</v>
      </c>
      <c r="E16" s="367"/>
      <c r="F16" s="357">
        <v>176</v>
      </c>
      <c r="G16" s="333">
        <v>88</v>
      </c>
      <c r="H16" s="362">
        <v>291</v>
      </c>
      <c r="I16" s="198">
        <v>4.4487119673762454E-2</v>
      </c>
      <c r="J16" s="335">
        <f t="shared" si="2"/>
        <v>133.46135902128736</v>
      </c>
    </row>
    <row r="17" spans="1:10" ht="15.75" x14ac:dyDescent="0.25">
      <c r="A17" s="343" t="s">
        <v>179</v>
      </c>
      <c r="B17" s="344">
        <v>250</v>
      </c>
      <c r="C17" s="344">
        <v>50</v>
      </c>
      <c r="D17" s="333">
        <f t="shared" si="3"/>
        <v>50</v>
      </c>
      <c r="E17" s="377"/>
      <c r="F17" s="363">
        <v>150</v>
      </c>
      <c r="G17" s="344">
        <v>75</v>
      </c>
      <c r="H17" s="364">
        <v>384</v>
      </c>
      <c r="I17" s="198">
        <v>5.277875658030852E-2</v>
      </c>
      <c r="J17" s="335">
        <f t="shared" si="2"/>
        <v>158.33626974092556</v>
      </c>
    </row>
    <row r="18" spans="1:10" ht="15.75" x14ac:dyDescent="0.25">
      <c r="A18" s="343" t="s">
        <v>180</v>
      </c>
      <c r="B18" s="344">
        <v>250</v>
      </c>
      <c r="C18" s="344">
        <v>50</v>
      </c>
      <c r="D18" s="333">
        <f t="shared" si="3"/>
        <v>50</v>
      </c>
      <c r="E18" s="377"/>
      <c r="F18" s="363">
        <v>150</v>
      </c>
      <c r="G18" s="344">
        <v>75</v>
      </c>
      <c r="H18" s="364">
        <v>463</v>
      </c>
      <c r="I18" s="198">
        <v>6.4559729031270247E-2</v>
      </c>
      <c r="J18" s="335">
        <f t="shared" si="2"/>
        <v>193.67918709381075</v>
      </c>
    </row>
    <row r="19" spans="1:10" ht="15.75" x14ac:dyDescent="0.25">
      <c r="A19" s="136"/>
      <c r="B19" s="333"/>
      <c r="C19" s="17"/>
      <c r="D19" s="17"/>
      <c r="E19" s="333"/>
      <c r="F19" s="333"/>
      <c r="G19" s="333"/>
      <c r="H19" s="333"/>
      <c r="I19" s="198"/>
      <c r="J19" s="198"/>
    </row>
    <row r="20" spans="1:10" ht="14.45" customHeight="1" x14ac:dyDescent="0.25">
      <c r="A20" s="379" t="s">
        <v>491</v>
      </c>
      <c r="B20" s="330"/>
      <c r="C20" s="17"/>
      <c r="D20" s="17"/>
      <c r="E20" s="359" t="s">
        <v>185</v>
      </c>
      <c r="F20" s="754" t="s">
        <v>182</v>
      </c>
      <c r="G20" s="759"/>
      <c r="H20" s="755"/>
      <c r="I20" s="198"/>
      <c r="J20" s="776" t="s">
        <v>493</v>
      </c>
    </row>
    <row r="21" spans="1:10" ht="49.5" x14ac:dyDescent="0.25">
      <c r="A21" s="332"/>
      <c r="B21" s="331" t="s">
        <v>482</v>
      </c>
      <c r="C21" s="340" t="s">
        <v>487</v>
      </c>
      <c r="D21" s="340"/>
      <c r="E21" s="360" t="s">
        <v>184</v>
      </c>
      <c r="F21" s="358" t="s">
        <v>175</v>
      </c>
      <c r="G21" s="331" t="s">
        <v>183</v>
      </c>
      <c r="H21" s="361" t="s">
        <v>176</v>
      </c>
      <c r="I21" s="340" t="s">
        <v>495</v>
      </c>
      <c r="J21" s="776"/>
    </row>
    <row r="22" spans="1:10" ht="18.75" x14ac:dyDescent="0.25">
      <c r="A22" s="136"/>
      <c r="B22" s="371" t="s">
        <v>187</v>
      </c>
      <c r="C22" s="371" t="s">
        <v>488</v>
      </c>
      <c r="D22" s="371" t="s">
        <v>522</v>
      </c>
      <c r="E22" s="372" t="s">
        <v>484</v>
      </c>
      <c r="F22" s="373" t="s">
        <v>483</v>
      </c>
      <c r="G22" s="374" t="s">
        <v>485</v>
      </c>
      <c r="H22" s="375" t="s">
        <v>486</v>
      </c>
      <c r="I22" s="376"/>
      <c r="J22" s="777"/>
    </row>
    <row r="23" spans="1:10" ht="15.75" x14ac:dyDescent="0.25">
      <c r="A23" s="136" t="s">
        <v>177</v>
      </c>
      <c r="B23" s="333">
        <v>300</v>
      </c>
      <c r="C23" s="131">
        <v>61</v>
      </c>
      <c r="D23" s="333">
        <f>B23-C23-E23</f>
        <v>90</v>
      </c>
      <c r="E23" s="359">
        <v>149</v>
      </c>
      <c r="F23" s="368"/>
      <c r="G23" s="369"/>
      <c r="H23" s="378"/>
      <c r="I23" s="198">
        <v>1.7436624625586747E-2</v>
      </c>
      <c r="J23" s="335">
        <f t="shared" ref="J23:J27" si="4">I23*3*1000</f>
        <v>52.309873876760243</v>
      </c>
    </row>
    <row r="24" spans="1:10" ht="15.75" x14ac:dyDescent="0.25">
      <c r="A24" s="136" t="s">
        <v>178</v>
      </c>
      <c r="B24" s="333">
        <v>300</v>
      </c>
      <c r="C24" s="131">
        <v>51</v>
      </c>
      <c r="D24" s="333">
        <f>B24-C24-E24</f>
        <v>50</v>
      </c>
      <c r="E24" s="359">
        <v>199</v>
      </c>
      <c r="F24" s="368"/>
      <c r="G24" s="369"/>
      <c r="H24" s="378"/>
      <c r="I24" s="198">
        <v>3.1102552668702352E-2</v>
      </c>
      <c r="J24" s="335">
        <f t="shared" si="4"/>
        <v>93.307658006107062</v>
      </c>
    </row>
    <row r="25" spans="1:10" ht="15.75" x14ac:dyDescent="0.25">
      <c r="A25" s="136" t="s">
        <v>2</v>
      </c>
      <c r="B25" s="333">
        <v>300</v>
      </c>
      <c r="C25" s="345">
        <v>66</v>
      </c>
      <c r="D25" s="333">
        <f t="shared" ref="D25:D27" si="5">B25-C25-F25</f>
        <v>34</v>
      </c>
      <c r="E25" s="367"/>
      <c r="F25" s="357">
        <v>200</v>
      </c>
      <c r="G25" s="333">
        <v>100</v>
      </c>
      <c r="H25" s="365">
        <v>275</v>
      </c>
      <c r="I25" s="198">
        <v>4.6495571273128943E-2</v>
      </c>
      <c r="J25" s="335">
        <f t="shared" si="4"/>
        <v>139.48671381938681</v>
      </c>
    </row>
    <row r="26" spans="1:10" ht="15.75" x14ac:dyDescent="0.25">
      <c r="A26" s="136" t="s">
        <v>179</v>
      </c>
      <c r="B26" s="333">
        <v>300</v>
      </c>
      <c r="C26" s="345">
        <v>56</v>
      </c>
      <c r="D26" s="333">
        <f t="shared" si="5"/>
        <v>43</v>
      </c>
      <c r="E26" s="367"/>
      <c r="F26" s="357">
        <v>201</v>
      </c>
      <c r="G26" s="333">
        <v>100.5</v>
      </c>
      <c r="H26" s="365">
        <v>355</v>
      </c>
      <c r="I26" s="198">
        <v>6.2672417244626188E-2</v>
      </c>
      <c r="J26" s="335">
        <f t="shared" si="4"/>
        <v>188.01725173387857</v>
      </c>
    </row>
    <row r="27" spans="1:10" ht="15.75" x14ac:dyDescent="0.25">
      <c r="A27" s="343" t="s">
        <v>180</v>
      </c>
      <c r="B27" s="344">
        <v>300</v>
      </c>
      <c r="C27" s="344">
        <v>50</v>
      </c>
      <c r="D27" s="333">
        <f t="shared" si="5"/>
        <v>70</v>
      </c>
      <c r="E27" s="377"/>
      <c r="F27" s="363">
        <v>180</v>
      </c>
      <c r="G27" s="344">
        <v>90</v>
      </c>
      <c r="H27" s="364">
        <v>445</v>
      </c>
      <c r="I27" s="198">
        <v>7.8225657074385863E-2</v>
      </c>
      <c r="J27" s="335">
        <f t="shared" si="4"/>
        <v>234.67697122315758</v>
      </c>
    </row>
    <row r="28" spans="1:10" ht="15.75" x14ac:dyDescent="0.25">
      <c r="A28" s="17"/>
      <c r="B28" s="123"/>
      <c r="C28" s="17"/>
      <c r="D28" s="17"/>
      <c r="E28" s="17"/>
      <c r="F28" s="17"/>
      <c r="G28" s="17"/>
      <c r="H28" s="17"/>
      <c r="I28" s="198"/>
      <c r="J28" s="198"/>
    </row>
    <row r="29" spans="1:10" ht="14.45" customHeight="1" x14ac:dyDescent="0.25">
      <c r="A29" s="379" t="s">
        <v>492</v>
      </c>
      <c r="B29" s="330"/>
      <c r="C29" s="17"/>
      <c r="D29" s="17"/>
      <c r="E29" s="359" t="s">
        <v>185</v>
      </c>
      <c r="F29" s="754" t="s">
        <v>182</v>
      </c>
      <c r="G29" s="759"/>
      <c r="H29" s="755"/>
      <c r="I29" s="198"/>
      <c r="J29" s="776" t="s">
        <v>493</v>
      </c>
    </row>
    <row r="30" spans="1:10" ht="49.5" x14ac:dyDescent="0.25">
      <c r="A30" s="136"/>
      <c r="B30" s="331" t="s">
        <v>482</v>
      </c>
      <c r="C30" s="340" t="s">
        <v>487</v>
      </c>
      <c r="D30" s="340"/>
      <c r="E30" s="360" t="s">
        <v>184</v>
      </c>
      <c r="F30" s="358" t="s">
        <v>175</v>
      </c>
      <c r="G30" s="331" t="s">
        <v>183</v>
      </c>
      <c r="H30" s="361" t="s">
        <v>176</v>
      </c>
      <c r="I30" s="340" t="s">
        <v>495</v>
      </c>
      <c r="J30" s="776"/>
    </row>
    <row r="31" spans="1:10" ht="18.75" x14ac:dyDescent="0.25">
      <c r="A31" s="136"/>
      <c r="B31" s="371" t="s">
        <v>187</v>
      </c>
      <c r="C31" s="371" t="s">
        <v>488</v>
      </c>
      <c r="D31" s="371" t="s">
        <v>522</v>
      </c>
      <c r="E31" s="372" t="s">
        <v>484</v>
      </c>
      <c r="F31" s="373" t="s">
        <v>483</v>
      </c>
      <c r="G31" s="374" t="s">
        <v>485</v>
      </c>
      <c r="H31" s="375" t="s">
        <v>486</v>
      </c>
      <c r="I31" s="376"/>
      <c r="J31" s="777"/>
    </row>
    <row r="32" spans="1:10" ht="15.75" x14ac:dyDescent="0.25">
      <c r="A32" s="136" t="s">
        <v>179</v>
      </c>
      <c r="B32" s="333">
        <v>400</v>
      </c>
      <c r="C32" s="344">
        <v>51</v>
      </c>
      <c r="D32" s="333">
        <f>B32-C32-E32</f>
        <v>50</v>
      </c>
      <c r="E32" s="359">
        <v>299</v>
      </c>
      <c r="F32" s="368"/>
      <c r="G32" s="369"/>
      <c r="H32" s="378"/>
      <c r="I32" s="198">
        <v>7.0215381205895266E-2</v>
      </c>
      <c r="J32" s="335">
        <f t="shared" ref="J32:J34" si="6">I32*3*1000</f>
        <v>210.64614361768579</v>
      </c>
    </row>
    <row r="33" spans="1:10" ht="15.75" x14ac:dyDescent="0.25">
      <c r="A33" s="136" t="s">
        <v>180</v>
      </c>
      <c r="B33" s="333">
        <v>400</v>
      </c>
      <c r="C33" s="344">
        <v>56</v>
      </c>
      <c r="D33" s="333">
        <f t="shared" ref="D33:D34" si="7">B33-C33-F33</f>
        <v>42</v>
      </c>
      <c r="E33" s="367"/>
      <c r="F33" s="357">
        <v>302</v>
      </c>
      <c r="G33" s="333">
        <v>151</v>
      </c>
      <c r="H33" s="365">
        <v>377</v>
      </c>
      <c r="I33" s="198">
        <v>9.3897680522377763E-2</v>
      </c>
      <c r="J33" s="335">
        <f t="shared" si="6"/>
        <v>281.69304156713326</v>
      </c>
    </row>
    <row r="34" spans="1:10" ht="15.75" x14ac:dyDescent="0.25">
      <c r="A34" s="136" t="s">
        <v>181</v>
      </c>
      <c r="B34" s="333">
        <v>400</v>
      </c>
      <c r="C34" s="344">
        <v>51</v>
      </c>
      <c r="D34" s="333">
        <f t="shared" si="7"/>
        <v>47</v>
      </c>
      <c r="E34" s="367"/>
      <c r="F34" s="357">
        <v>302</v>
      </c>
      <c r="G34" s="333">
        <v>151</v>
      </c>
      <c r="H34" s="365">
        <v>454</v>
      </c>
      <c r="I34" s="198">
        <v>0.11764636169163056</v>
      </c>
      <c r="J34" s="335">
        <f t="shared" si="6"/>
        <v>352.93908507489169</v>
      </c>
    </row>
  </sheetData>
  <mergeCells count="8">
    <mergeCell ref="J2:J4"/>
    <mergeCell ref="J11:J13"/>
    <mergeCell ref="J20:J22"/>
    <mergeCell ref="J29:J31"/>
    <mergeCell ref="F11:H11"/>
    <mergeCell ref="F20:H20"/>
    <mergeCell ref="F2:H2"/>
    <mergeCell ref="F29:H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4504A946ECCA4C952722432686889E" ma:contentTypeVersion="19" ma:contentTypeDescription="Create a new document." ma:contentTypeScope="" ma:versionID="2f9140c8a0ffd3d972e714a350405c14">
  <xsd:schema xmlns:xsd="http://www.w3.org/2001/XMLSchema" xmlns:xs="http://www.w3.org/2001/XMLSchema" xmlns:p="http://schemas.microsoft.com/office/2006/metadata/properties" xmlns:ns2="14bbb3e3-3c65-4cbd-bb41-bc965094d10a" xmlns:ns3="376dd4ba-df4a-4846-a89c-1b53ce3cc703" targetNamespace="http://schemas.microsoft.com/office/2006/metadata/properties" ma:root="true" ma:fieldsID="14a4f7d159018a758460caa7d2edcab9" ns2:_="" ns3:_="">
    <xsd:import namespace="14bbb3e3-3c65-4cbd-bb41-bc965094d10a"/>
    <xsd:import namespace="376dd4ba-df4a-4846-a89c-1b53ce3cc7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bbb3e3-3c65-4cbd-bb41-bc965094d1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5099de3-f43e-464c-81e1-892210f719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6dd4ba-df4a-4846-a89c-1b53ce3cc70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a1b3306-80d9-4625-86be-7037c69e3b39}" ma:internalName="TaxCatchAll" ma:showField="CatchAllData" ma:web="376dd4ba-df4a-4846-a89c-1b53ce3cc7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bbb3e3-3c65-4cbd-bb41-bc965094d10a">
      <Terms xmlns="http://schemas.microsoft.com/office/infopath/2007/PartnerControls"/>
    </lcf76f155ced4ddcb4097134ff3c332f>
    <TaxCatchAll xmlns="376dd4ba-df4a-4846-a89c-1b53ce3cc703" xsi:nil="true"/>
  </documentManagement>
</p:properties>
</file>

<file path=customXml/itemProps1.xml><?xml version="1.0" encoding="utf-8"?>
<ds:datastoreItem xmlns:ds="http://schemas.openxmlformats.org/officeDocument/2006/customXml" ds:itemID="{740E4E94-5441-48B8-81FC-014CC02ED9F1}">
  <ds:schemaRefs>
    <ds:schemaRef ds:uri="http://schemas.microsoft.com/sharepoint/v3/contenttype/forms"/>
  </ds:schemaRefs>
</ds:datastoreItem>
</file>

<file path=customXml/itemProps2.xml><?xml version="1.0" encoding="utf-8"?>
<ds:datastoreItem xmlns:ds="http://schemas.openxmlformats.org/officeDocument/2006/customXml" ds:itemID="{49396D58-FA27-4D68-B385-4C029C1660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bbb3e3-3c65-4cbd-bb41-bc965094d10a"/>
    <ds:schemaRef ds:uri="376dd4ba-df4a-4846-a89c-1b53ce3cc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6BB1BF-9276-48FC-9FB2-1D08A5929131}">
  <ds:schemaRefs>
    <ds:schemaRef ds:uri="http://schemas.microsoft.com/office/2006/metadata/properties"/>
    <ds:schemaRef ds:uri="http://www.w3.org/2000/xmlns/"/>
    <ds:schemaRef ds:uri="14bbb3e3-3c65-4cbd-bb41-bc965094d10a"/>
    <ds:schemaRef ds:uri="http://schemas.microsoft.com/office/infopath/2007/PartnerControls"/>
    <ds:schemaRef ds:uri="376dd4ba-df4a-4846-a89c-1b53ce3cc703"/>
    <ds:schemaRef ds:uri="http://www.w3.org/2001/XMLSchema-instan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HSC-VS</vt:lpstr>
      <vt:lpstr>Equations</vt:lpstr>
      <vt:lpstr>Data</vt:lpstr>
      <vt:lpstr>Notes</vt:lpstr>
      <vt:lpstr>Connection Box Details</vt:lpstr>
      <vt:lpstr>Optional Pressure Dampers</vt:lpstr>
      <vt:lpstr>Selection Summary &amp; Print</vt:lpstr>
      <vt:lpstr>NEWCMAX</vt:lpstr>
      <vt:lpstr>dimensions old</vt:lpstr>
      <vt:lpstr>Diagrams</vt:lpstr>
      <vt:lpstr>layout diagrams</vt:lpstr>
      <vt:lpstr>_acc.code</vt:lpstr>
      <vt:lpstr>_diffusercode</vt:lpstr>
      <vt:lpstr>_productcode</vt:lpstr>
      <vt:lpstr>adpi.</vt:lpstr>
      <vt:lpstr>dischargedirection.</vt:lpstr>
      <vt:lpstr>necksize.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HSC-FD Selection</dc:title>
  <dc:creator>Peter Tran</dc:creator>
  <cp:lastModifiedBy>Peter Tran</cp:lastModifiedBy>
  <cp:lastPrinted>2019-06-26T08:34:12Z</cp:lastPrinted>
  <dcterms:created xsi:type="dcterms:W3CDTF">2016-08-19T02:09:50Z</dcterms:created>
  <dcterms:modified xsi:type="dcterms:W3CDTF">2026-01-08T09:45:59Z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0x010100E34504A946ECCA4C952722432686889E</vt:lpwstr>
  </property>
  <property fmtid="{D5CDD505-2E9C-101B-9397-08002B2CF9AE}" pid="3" name="MediaServiceImageTags">
    <vt:lpwstr/>
  </property>
</Properties>
</file>